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739" firstSheet="5" activeTab="10"/>
  </bookViews>
  <sheets>
    <sheet name="барабан груп (3)" sheetId="10" r:id="rId1"/>
    <sheet name="ф-но" sheetId="11" r:id="rId2"/>
    <sheet name="аккорд. 01.09.2025" sheetId="12" r:id="rId3"/>
    <sheet name="баян" sheetId="13" r:id="rId4"/>
    <sheet name="балалайка" sheetId="14" r:id="rId5"/>
    <sheet name="барабан" sheetId="15" r:id="rId6"/>
    <sheet name="виолонч." sheetId="16" r:id="rId7"/>
    <sheet name="гитара" sheetId="17" r:id="rId8"/>
    <sheet name="домра" sheetId="18" r:id="rId9"/>
    <sheet name="скрипка" sheetId="19" r:id="rId10"/>
    <sheet name="вокал" sheetId="8" r:id="rId11"/>
    <sheet name="флейта" sheetId="20" r:id="rId12"/>
    <sheet name="ГПД-15 100ч. 01.09.2025" sheetId="1" r:id="rId13"/>
    <sheet name="ГПД-15 40ч. 01.09.2025" sheetId="2" r:id="rId14"/>
    <sheet name="ПДШ №1" sheetId="3" r:id="rId15"/>
    <sheet name="ПДШ№2" sheetId="4" r:id="rId16"/>
    <sheet name="бисер" sheetId="5" r:id="rId17"/>
    <sheet name="англ.5" sheetId="6" r:id="rId18"/>
    <sheet name="тв.мастерство" sheetId="7" r:id="rId19"/>
    <sheet name="юн.художник" sheetId="9" r:id="rId20"/>
  </sheets>
  <definedNames>
    <definedName name="_xlnm.Print_Area" localSheetId="12">'ГПД-15 100ч. 01.09.2025'!$A$1:$J$40</definedName>
    <definedName name="_xlnm.Print_Area" localSheetId="1">'ф-но'!$A$1:$J$44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0" l="1"/>
  <c r="J32" i="20"/>
  <c r="J17" i="20"/>
  <c r="J19" i="20" s="1"/>
  <c r="J33" i="19"/>
  <c r="J31" i="19"/>
  <c r="J21" i="19"/>
  <c r="J20" i="19"/>
  <c r="J19" i="19"/>
  <c r="J24" i="19" s="1"/>
  <c r="J17" i="19"/>
  <c r="J22" i="19" s="1"/>
  <c r="J23" i="19" s="1"/>
  <c r="J34" i="18"/>
  <c r="J32" i="18"/>
  <c r="J20" i="18"/>
  <c r="J21" i="18" s="1"/>
  <c r="J17" i="18"/>
  <c r="J33" i="17"/>
  <c r="J31" i="17"/>
  <c r="J19" i="17"/>
  <c r="J17" i="17"/>
  <c r="J33" i="16"/>
  <c r="J31" i="16"/>
  <c r="J17" i="16"/>
  <c r="J19" i="16" s="1"/>
  <c r="J33" i="15"/>
  <c r="J31" i="15"/>
  <c r="J21" i="15"/>
  <c r="J20" i="15"/>
  <c r="J19" i="15"/>
  <c r="J24" i="15" s="1"/>
  <c r="J17" i="15"/>
  <c r="J22" i="15" s="1"/>
  <c r="J23" i="15" s="1"/>
  <c r="J33" i="14"/>
  <c r="J31" i="14"/>
  <c r="J20" i="14"/>
  <c r="J21" i="14" s="1"/>
  <c r="J17" i="14"/>
  <c r="J32" i="13"/>
  <c r="J30" i="13"/>
  <c r="J19" i="13"/>
  <c r="J17" i="13"/>
  <c r="J33" i="12"/>
  <c r="J31" i="12"/>
  <c r="J17" i="12"/>
  <c r="J19" i="12" s="1"/>
  <c r="J34" i="11"/>
  <c r="J32" i="11"/>
  <c r="J21" i="11"/>
  <c r="J20" i="11"/>
  <c r="J19" i="11"/>
  <c r="J17" i="11"/>
  <c r="J22" i="11" s="1"/>
  <c r="I30" i="10"/>
  <c r="I28" i="10"/>
  <c r="I18" i="10"/>
  <c r="I16" i="10"/>
  <c r="I13" i="10"/>
  <c r="I17" i="10" s="1"/>
  <c r="J29" i="9"/>
  <c r="J27" i="9"/>
  <c r="J13" i="9"/>
  <c r="J29" i="8"/>
  <c r="J27" i="8"/>
  <c r="J15" i="8"/>
  <c r="J29" i="7"/>
  <c r="J27" i="7"/>
  <c r="J16" i="7"/>
  <c r="J18" i="7" s="1"/>
  <c r="J19" i="7" s="1"/>
  <c r="J13" i="7"/>
  <c r="J15" i="7" s="1"/>
  <c r="J29" i="6"/>
  <c r="J27" i="6"/>
  <c r="J13" i="6"/>
  <c r="J27" i="5"/>
  <c r="J25" i="5"/>
  <c r="J16" i="5"/>
  <c r="J18" i="5" s="1"/>
  <c r="J19" i="5" s="1"/>
  <c r="J13" i="5"/>
  <c r="J15" i="5" s="1"/>
  <c r="J32" i="4"/>
  <c r="J30" i="4"/>
  <c r="J17" i="4"/>
  <c r="J16" i="4"/>
  <c r="J13" i="4"/>
  <c r="J20" i="4" s="1"/>
  <c r="J21" i="4" s="1"/>
  <c r="J27" i="3"/>
  <c r="J16" i="3"/>
  <c r="J17" i="3" s="1"/>
  <c r="J15" i="3"/>
  <c r="J13" i="3"/>
  <c r="J18" i="3" s="1"/>
  <c r="J19" i="3" s="1"/>
  <c r="M31" i="2"/>
  <c r="J29" i="2"/>
  <c r="J15" i="2"/>
  <c r="J16" i="1"/>
  <c r="J25" i="11" l="1"/>
  <c r="J23" i="11"/>
  <c r="J25" i="15"/>
  <c r="J37" i="15" s="1"/>
  <c r="J24" i="11"/>
  <c r="J25" i="19"/>
  <c r="J26" i="19" s="1"/>
  <c r="J26" i="15"/>
  <c r="J22" i="16"/>
  <c r="J23" i="16" s="1"/>
  <c r="J22" i="20"/>
  <c r="J23" i="20" s="1"/>
  <c r="J20" i="12"/>
  <c r="J21" i="12" s="1"/>
  <c r="J22" i="14"/>
  <c r="J23" i="14" s="1"/>
  <c r="J20" i="16"/>
  <c r="J21" i="16" s="1"/>
  <c r="J22" i="18"/>
  <c r="J23" i="18" s="1"/>
  <c r="J20" i="20"/>
  <c r="J21" i="20" s="1"/>
  <c r="I15" i="10"/>
  <c r="I20" i="10" s="1"/>
  <c r="I19" i="10"/>
  <c r="J25" i="12"/>
  <c r="J22" i="13"/>
  <c r="J23" i="13" s="1"/>
  <c r="J19" i="14"/>
  <c r="J22" i="17"/>
  <c r="J23" i="17" s="1"/>
  <c r="J19" i="18"/>
  <c r="J24" i="18" s="1"/>
  <c r="J22" i="12"/>
  <c r="J23" i="12" s="1"/>
  <c r="J20" i="13"/>
  <c r="J21" i="13" s="1"/>
  <c r="J20" i="17"/>
  <c r="J21" i="17" s="1"/>
  <c r="J20" i="3"/>
  <c r="J20" i="5"/>
  <c r="J20" i="7"/>
  <c r="J18" i="4"/>
  <c r="J19" i="4" s="1"/>
  <c r="J17" i="7"/>
  <c r="J21" i="7" s="1"/>
  <c r="J21" i="3"/>
  <c r="J20" i="2"/>
  <c r="J21" i="2" s="1"/>
  <c r="J22" i="4"/>
  <c r="J17" i="5"/>
  <c r="J15" i="9"/>
  <c r="J18" i="1"/>
  <c r="J17" i="2"/>
  <c r="J22" i="2" s="1"/>
  <c r="J15" i="4"/>
  <c r="J23" i="4"/>
  <c r="J15" i="6"/>
  <c r="J17" i="8"/>
  <c r="J16" i="9"/>
  <c r="J19" i="1"/>
  <c r="J18" i="2"/>
  <c r="J19" i="2" s="1"/>
  <c r="J16" i="6"/>
  <c r="J18" i="8"/>
  <c r="J38" i="15" l="1"/>
  <c r="J39" i="15" s="1"/>
  <c r="J40" i="15" s="1"/>
  <c r="J24" i="13"/>
  <c r="J25" i="16"/>
  <c r="J24" i="12"/>
  <c r="J25" i="18"/>
  <c r="J25" i="13"/>
  <c r="J26" i="11"/>
  <c r="J38" i="11" s="1"/>
  <c r="J37" i="19"/>
  <c r="J24" i="14"/>
  <c r="J24" i="16"/>
  <c r="J24" i="17"/>
  <c r="J25" i="20"/>
  <c r="I21" i="10"/>
  <c r="I22" i="10" s="1"/>
  <c r="J26" i="18"/>
  <c r="J38" i="18" s="1"/>
  <c r="J24" i="20"/>
  <c r="J25" i="14"/>
  <c r="J25" i="17"/>
  <c r="J20" i="8"/>
  <c r="J21" i="8" s="1"/>
  <c r="J19" i="8"/>
  <c r="J22" i="7"/>
  <c r="J32" i="7"/>
  <c r="J22" i="5"/>
  <c r="J30" i="5" s="1"/>
  <c r="J21" i="5"/>
  <c r="J18" i="6"/>
  <c r="J19" i="6" s="1"/>
  <c r="J17" i="6"/>
  <c r="J20" i="6" s="1"/>
  <c r="J17" i="9"/>
  <c r="J18" i="9"/>
  <c r="J19" i="9" s="1"/>
  <c r="J22" i="3"/>
  <c r="J33" i="3"/>
  <c r="J24" i="4"/>
  <c r="J36" i="4"/>
  <c r="J23" i="2"/>
  <c r="J20" i="1"/>
  <c r="J21" i="1"/>
  <c r="J22" i="1" s="1"/>
  <c r="J24" i="1"/>
  <c r="J23" i="1"/>
  <c r="J39" i="11" l="1"/>
  <c r="J40" i="11" s="1"/>
  <c r="J41" i="11" s="1"/>
  <c r="J39" i="18"/>
  <c r="J40" i="18" s="1"/>
  <c r="J41" i="18" s="1"/>
  <c r="J26" i="20"/>
  <c r="J38" i="20" s="1"/>
  <c r="J26" i="16"/>
  <c r="J37" i="16"/>
  <c r="J26" i="14"/>
  <c r="J37" i="14" s="1"/>
  <c r="J26" i="13"/>
  <c r="J36" i="13"/>
  <c r="J38" i="19"/>
  <c r="J39" i="19" s="1"/>
  <c r="J40" i="19" s="1"/>
  <c r="I34" i="10"/>
  <c r="J26" i="17"/>
  <c r="J37" i="17" s="1"/>
  <c r="J26" i="12"/>
  <c r="J37" i="12" s="1"/>
  <c r="J31" i="5"/>
  <c r="J32" i="5" s="1"/>
  <c r="J33" i="5" s="1"/>
  <c r="J34" i="3"/>
  <c r="J35" i="3" s="1"/>
  <c r="J36" i="3" s="1"/>
  <c r="J21" i="6"/>
  <c r="J22" i="6" s="1"/>
  <c r="J33" i="6" s="1"/>
  <c r="J34" i="7"/>
  <c r="J35" i="7" s="1"/>
  <c r="J33" i="7"/>
  <c r="J21" i="9"/>
  <c r="J24" i="2"/>
  <c r="J30" i="2" s="1"/>
  <c r="J31" i="2" s="1"/>
  <c r="L31" i="2" s="1"/>
  <c r="J30" i="1"/>
  <c r="J31" i="1" s="1"/>
  <c r="J32" i="1" s="1"/>
  <c r="J25" i="1"/>
  <c r="J23" i="8"/>
  <c r="J37" i="4"/>
  <c r="J38" i="4"/>
  <c r="J39" i="4" s="1"/>
  <c r="J22" i="8"/>
  <c r="J20" i="9"/>
  <c r="J38" i="12" l="1"/>
  <c r="J39" i="12" s="1"/>
  <c r="J40" i="12" s="1"/>
  <c r="J38" i="17"/>
  <c r="J39" i="17"/>
  <c r="J40" i="17" s="1"/>
  <c r="J39" i="20"/>
  <c r="J40" i="20" s="1"/>
  <c r="J41" i="20" s="1"/>
  <c r="J38" i="14"/>
  <c r="J39" i="14" s="1"/>
  <c r="J40" i="14" s="1"/>
  <c r="J37" i="13"/>
  <c r="J38" i="13"/>
  <c r="J39" i="13" s="1"/>
  <c r="J38" i="16"/>
  <c r="J39" i="16" s="1"/>
  <c r="J40" i="16" s="1"/>
  <c r="I35" i="10"/>
  <c r="I36" i="10" s="1"/>
  <c r="I37" i="10" s="1"/>
  <c r="J34" i="6"/>
  <c r="J35" i="6"/>
  <c r="J36" i="6" s="1"/>
  <c r="J22" i="9"/>
  <c r="J31" i="9" s="1"/>
  <c r="J24" i="8"/>
  <c r="J33" i="8"/>
  <c r="J35" i="8" s="1"/>
  <c r="J36" i="8" s="1"/>
  <c r="J32" i="9" l="1"/>
  <c r="J33" i="9" s="1"/>
  <c r="J34" i="9" s="1"/>
</calcChain>
</file>

<file path=xl/comments1.xml><?xml version="1.0" encoding="utf-8"?>
<comments xmlns="http://schemas.openxmlformats.org/spreadsheetml/2006/main">
  <authors>
    <author>RePack by Diakov</author>
  </authors>
  <commentList>
    <comment ref="J27" authorId="0" shapeId="0">
      <text>
        <r>
          <rPr>
            <b/>
            <sz val="9"/>
            <color indexed="81"/>
            <rFont val="Tahoma"/>
            <charset val="1"/>
          </rPr>
          <t>RePack by Diakov:</t>
        </r>
        <r>
          <rPr>
            <sz val="9"/>
            <color indexed="81"/>
            <rFont val="Tahoma"/>
            <charset val="1"/>
          </rPr>
          <t xml:space="preserve">
сумма по договору общая/12 мес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RePack by Diakov:</t>
        </r>
        <r>
          <rPr>
            <sz val="9"/>
            <color indexed="81"/>
            <rFont val="Tahoma"/>
            <charset val="1"/>
          </rPr>
          <t xml:space="preserve">
сумма по договору /12</t>
        </r>
      </text>
    </comment>
  </commentList>
</comments>
</file>

<file path=xl/sharedStrings.xml><?xml version="1.0" encoding="utf-8"?>
<sst xmlns="http://schemas.openxmlformats.org/spreadsheetml/2006/main" count="949" uniqueCount="266">
  <si>
    <t>Утверждаю _______________________</t>
  </si>
  <si>
    <t>Директор МБОУ "Гимназия № 10</t>
  </si>
  <si>
    <t>г.Челябинска"</t>
  </si>
  <si>
    <t>Осипова И.В.</t>
  </si>
  <si>
    <t>01 сентября 2019г.</t>
  </si>
  <si>
    <t>01 сентября 2025г.</t>
  </si>
  <si>
    <t>Смета №</t>
  </si>
  <si>
    <t>на  дополнительную  платную  образовательную  услугу</t>
  </si>
  <si>
    <t>"Присмотр и уход за детьми во внеурочное время"</t>
  </si>
  <si>
    <t>Период обучения : 9 месяцев.</t>
  </si>
  <si>
    <t>Количество  часов  в  месяц:  100 час (25 час в  неделю)</t>
  </si>
  <si>
    <t xml:space="preserve">Число  воспитанников: 10 человек </t>
  </si>
  <si>
    <t>1.Расходы  по  зарплате:</t>
  </si>
  <si>
    <t xml:space="preserve">Зарплата  воспитателю         </t>
  </si>
  <si>
    <t xml:space="preserve">Стоимость одного часа учебной нагрузки: 113,25 руб.  (16308/144 х 100 час.) </t>
  </si>
  <si>
    <t>стимулирующая надбавка</t>
  </si>
  <si>
    <t>Резерв отпуска  ЗПДО</t>
  </si>
  <si>
    <t>12325,00руб. : 29,3дн. Х 56дн. : 12м</t>
  </si>
  <si>
    <t xml:space="preserve">Зарплата  куратору     (25% от ЗПДО)                                                                                                </t>
  </si>
  <si>
    <t>12325руб. Х 25%</t>
  </si>
  <si>
    <t>Резерв отпуска куратора</t>
  </si>
  <si>
    <t>3081,25руб. : 29,3дн. Х 56дн. : 12м</t>
  </si>
  <si>
    <t xml:space="preserve">Зарплата  бухгалтеру    (20% от ЗПДО)                                                                                              </t>
  </si>
  <si>
    <t>12325,00руб. Х 20%</t>
  </si>
  <si>
    <t>Резерв отпуска бухгалтера</t>
  </si>
  <si>
    <t>3081,25руб. : 29,3дн. Х 28дн. : 12м</t>
  </si>
  <si>
    <t>Итого  расходы  по  зарплате:</t>
  </si>
  <si>
    <t>Районный коэффициент 15%</t>
  </si>
  <si>
    <t xml:space="preserve">2.Начисления  на  зарплату  30,2%                                                                      </t>
  </si>
  <si>
    <t>Количество  занимающихся   -   10  чел.</t>
  </si>
  <si>
    <t>Приобретение настольных, развивающих игр</t>
  </si>
  <si>
    <t>Приобретение материальных запасов (канцтоваров, бумаги, хозтоваров)</t>
  </si>
  <si>
    <t>Культурно-массовые мероприятия</t>
  </si>
  <si>
    <t xml:space="preserve">4.Итого  прямые  затраты:                                                                                       </t>
  </si>
  <si>
    <t xml:space="preserve">5.Общая  стоимость услуги    "Присмотр и уход за детьми во внеурочное время".                                    </t>
  </si>
  <si>
    <t xml:space="preserve">6.Стоимость одного абонента в месяц: 50400руб. : 10чел.                                                                  </t>
  </si>
  <si>
    <t xml:space="preserve">Главный бухгалтер                                         </t>
  </si>
  <si>
    <t xml:space="preserve">   </t>
  </si>
  <si>
    <t>Балдина А.В.</t>
  </si>
  <si>
    <t xml:space="preserve"> Период обучения: 9 месяцев.</t>
  </si>
  <si>
    <t xml:space="preserve">Количество часов в месяц: 48 час (12 час в неделю) </t>
  </si>
  <si>
    <t>Число  воспитанников: 10 человек</t>
  </si>
  <si>
    <t xml:space="preserve">Стоимость одного часа учебной нагрузки: 113,25 руб.  (16308/144 х 48 час.) </t>
  </si>
  <si>
    <t>6436,00  руб. : 29,3дн. Х 56дн. : 12м</t>
  </si>
  <si>
    <t>6436руб. Х 25%</t>
  </si>
  <si>
    <t>Резерв отпуска  куратора</t>
  </si>
  <si>
    <t>1609руб. : 29,3дн. Х 56дн. : 12м</t>
  </si>
  <si>
    <t xml:space="preserve">Зарплата  бухгалтеру    (25% от ЗПДО)                                                                                              </t>
  </si>
  <si>
    <t>Резерв отпуска  бухгалтера</t>
  </si>
  <si>
    <t>1609руб. : 29,3дн. Х 28дн. : 12м</t>
  </si>
  <si>
    <t xml:space="preserve">5.Общая  стоимость услуги"Присмотр и уход за детьми во внеурочное время"                                    </t>
  </si>
  <si>
    <t xml:space="preserve">6.Стоимость одного абонента в месяц: 27350,00руб. : 10чел.                                                                  </t>
  </si>
  <si>
    <t>Директор МБОУ "Гимназии № 10 г.Челябинска"</t>
  </si>
  <si>
    <t>на платную дополнительную образовательную  услугу</t>
  </si>
  <si>
    <t>"Подготовка детей к обучению в школе".Программа № 1</t>
  </si>
  <si>
    <t xml:space="preserve"> На месяц. Период обучения: 8 месяцев.</t>
  </si>
  <si>
    <t>Количество  часов  по  учебному  плану в  месяц: 24 часа (6 часов в  неделю)</t>
  </si>
  <si>
    <t xml:space="preserve">Число  занимающихся: 10 человек (1 группа) </t>
  </si>
  <si>
    <t>Сумма</t>
  </si>
  <si>
    <t xml:space="preserve">Зарплата  учителю      </t>
  </si>
  <si>
    <t>Стоимость одного часа учебной нагрузки: 266,94руб.  (19220/72 х 24 час. х 10% за категорию, стаж)</t>
  </si>
  <si>
    <t>8047,33руб. : 29,3дн. Х 56дн. : 12м</t>
  </si>
  <si>
    <t xml:space="preserve">Зарплата  куратору     (30% от ЗПДО)                                                                                                </t>
  </si>
  <si>
    <t>8047,33руб. Х 30%</t>
  </si>
  <si>
    <t>2414,2руб. : 29,3дн. Х 56дн. : 12м</t>
  </si>
  <si>
    <t xml:space="preserve">Зарплата  бухгалтеру    (30% от ЗПДО)                                                                                                </t>
  </si>
  <si>
    <t>2414,2руб. : 29,3дн. Х 28дн. : 12м</t>
  </si>
  <si>
    <t xml:space="preserve">Районный коэффициент 15%                                                                   </t>
  </si>
  <si>
    <t xml:space="preserve">3.Материальные  затраты:                                                                                </t>
  </si>
  <si>
    <t>Количество  учащихся  в МБОУ "Гимназии № 10 г. Челябинска"-  590  чел.</t>
  </si>
  <si>
    <t>Водоснабжение:</t>
  </si>
  <si>
    <t xml:space="preserve">Факт. расходы в месяц  19546,81 руб.:590чел. х10чел.: 240час. норма в мес.х24 час.    </t>
  </si>
  <si>
    <t>Электроэнергия:</t>
  </si>
  <si>
    <t xml:space="preserve">Факт. расходы в месяц 80836,25 руб.: 590чел. х 10чел.: 240час. норма в мес. х 24 час. </t>
  </si>
  <si>
    <t xml:space="preserve">4.Прочие расходы:        </t>
  </si>
  <si>
    <t>Амортизация магнитофона 2700 руб.*0,1:240час*24час. норма в месяц</t>
  </si>
  <si>
    <t xml:space="preserve">Приобретение канцтоваров,бумаги, моющих средств                                                                  </t>
  </si>
  <si>
    <t xml:space="preserve">Итого  прямые  затраты:                                                                                       </t>
  </si>
  <si>
    <t xml:space="preserve">5.Доход  гимназии № 10  -  20%                                                                               </t>
  </si>
  <si>
    <t xml:space="preserve">6.Общая  стоимость услуги «Подготовка детей к обучению в школе»                                       </t>
  </si>
  <si>
    <t xml:space="preserve">7.Стоимость одного абонента в месяц: 38400руб. : 10чел.                                                                   </t>
  </si>
  <si>
    <t>Деревянных Н.И.</t>
  </si>
  <si>
    <t>А.В. Балдина</t>
  </si>
  <si>
    <t>"Подготовка детей к обучению в школе".Программа №2.</t>
  </si>
  <si>
    <t>Количество  часов  по  учебному  плану в  месяц:20 часа (5 часов в  неделю)</t>
  </si>
  <si>
    <t>Стоимость одного часа учебной нагрузки: 256,67руб.  (19220/72 х 20 час. х 10% за категорию, стаж)</t>
  </si>
  <si>
    <t>6872,78руб. : 29,3дн. Х 56дн. : 12м</t>
  </si>
  <si>
    <t>Заработная плата концертмейстеру</t>
  </si>
  <si>
    <t>14389руб/72*8</t>
  </si>
  <si>
    <t>Резерв отпуска концертмейстера</t>
  </si>
  <si>
    <t>1598,78руб. : 29,3дн. Х 56дн. : 12м</t>
  </si>
  <si>
    <t>6872,78х30%</t>
  </si>
  <si>
    <t>2061,83руб. : 29,3дн. Х 56дн. : 12м</t>
  </si>
  <si>
    <t xml:space="preserve">Зарплата  бухгалтеру    (30% от ЗПДО)                                                                                              </t>
  </si>
  <si>
    <t>2061,83руб. : 29,3дн. Х28дн. : 12м</t>
  </si>
  <si>
    <t>Коммунальные  услуги:</t>
  </si>
  <si>
    <t xml:space="preserve">Факт. расходы в месяц    19546,81 руб.:590чел. х10чел.: 240час. норма в мес.х20 час.    </t>
  </si>
  <si>
    <t xml:space="preserve">Факт. расходы в месяц   80836,25 руб.:590чел. х10чел.: 240час. норма в мес.х20 час.    </t>
  </si>
  <si>
    <t xml:space="preserve">Амортизация фортепиано 8355 руб. х 0,1 : 240час х 20час. норма в месяц            </t>
  </si>
  <si>
    <t xml:space="preserve">Приобретение канцтоваров, бумаги, моющих средств                                                                  </t>
  </si>
  <si>
    <t xml:space="preserve">7.Стоимость одного абонента в месяц: 36600 руб. : 10чел.                                                                   </t>
  </si>
  <si>
    <t>01 сентября 2019</t>
  </si>
  <si>
    <t>Смета № 2</t>
  </si>
  <si>
    <t xml:space="preserve">            на  платную дополнительную образовательную  услугу</t>
  </si>
  <si>
    <t>"Бисероплетение".</t>
  </si>
  <si>
    <t xml:space="preserve">                    На месяц. Период обучения: 9 месяцев.</t>
  </si>
  <si>
    <t>Количество  часов  по  учебному  плану в  месяц: 8 часов (2 часа в  неделю)</t>
  </si>
  <si>
    <t xml:space="preserve">Зарплата  педагогу доп.образования          </t>
  </si>
  <si>
    <t>Стоимость одного часа учебной нагрузки: 199,85руб.  (14389/72 х 8 час. х 10% за категорию, стаж)</t>
  </si>
  <si>
    <t>2758,66руб. : 29,3дн. Х 56дн. : 12м</t>
  </si>
  <si>
    <t>2758,66х30%</t>
  </si>
  <si>
    <t>827,6руб. : 29,3дн. Х 56дн. : 12м.</t>
  </si>
  <si>
    <t xml:space="preserve">Зарплата бухгалтеру   (30% от ЗПДО)                </t>
  </si>
  <si>
    <t xml:space="preserve">Факт. расходы в месяц : 19546,81руб.:590 чел.х 10 чел.: 240час. норма в мес.х 8 час.    </t>
  </si>
  <si>
    <t xml:space="preserve">Факт. расходы в месяц 80836,25руб.: 590чел. х 10 чел.: 240час. норма в мес. х 8 час. </t>
  </si>
  <si>
    <t>4.Прочие расходы:</t>
  </si>
  <si>
    <t>Приобретение канцтоваров</t>
  </si>
  <si>
    <t xml:space="preserve">6. Общая стоимость услуги "Бисероплетение"                                                    </t>
  </si>
  <si>
    <t xml:space="preserve">7.Стоимость одного абонента в месяц: 12250руб. : 10чел.                                                                   </t>
  </si>
  <si>
    <t>на  платную дополнительную образовательную  услугу</t>
  </si>
  <si>
    <t xml:space="preserve"> спецкурс «Английский язык для малышей".</t>
  </si>
  <si>
    <t>Количество  часов  по  учебному  плану в  месяц:4 часа (1 час в  неделю)</t>
  </si>
  <si>
    <t xml:space="preserve">Число  занимающихся: 5 человек (1 группа) </t>
  </si>
  <si>
    <t>Стоимость одного часа учебной нагрузки:199,85 руб.  (14389/72 х 4 час. х 10% за категорию, стаж)</t>
  </si>
  <si>
    <t>1379,33руб. : 29,3дн. Х 56дн. : 12м</t>
  </si>
  <si>
    <t>1379,33х30%</t>
  </si>
  <si>
    <t>413,80руб. : 29,3дн. Х 56дн. : 12м.</t>
  </si>
  <si>
    <t>413,80руб. : 29,3дн. Х 28дн. : 12м.</t>
  </si>
  <si>
    <t>Количество  занимающихся   -   5  чел.</t>
  </si>
  <si>
    <t xml:space="preserve">Факт. расходы в месяц 19546,81 руб.:590 чел. х 5 чел.: 240 час.норма в мес. х 4 час.    </t>
  </si>
  <si>
    <t xml:space="preserve">Факт. расходы в месяц 80836,25 руб.: 590чел. х 5чел.: 240час. норма в мес. х 4 час. </t>
  </si>
  <si>
    <t>Амортизация муз.центра: 3348,80 х 0,1 : 240час. х 4час., норма в месяц</t>
  </si>
  <si>
    <t xml:space="preserve">6.Общая  стоимость услуги                                        </t>
  </si>
  <si>
    <t>"Английский язык для малышей"</t>
  </si>
  <si>
    <t xml:space="preserve">7.Стоимость одного абонента в месяц: 7325 руб. : 5чел.                                                                   </t>
  </si>
  <si>
    <t>Директор МБОУ "Гимназия № 10 г.Челябинска"</t>
  </si>
  <si>
    <t>"Театральное мастерство".</t>
  </si>
  <si>
    <t>Количество  часов  по  учебному  плану в  месяц: 4 часа в месяц</t>
  </si>
  <si>
    <t>Стоимость одного часа учебной нагрузки: 199,85руб.  (14389/72 х 4 час. х 10% за категорию, стаж)</t>
  </si>
  <si>
    <t>1279,33 руб. : 29,3дн. Х 56дн. : 12м</t>
  </si>
  <si>
    <t>1279руб*30%</t>
  </si>
  <si>
    <t>383,80руб. : 29,3дн. Х 56дн. : 12м.</t>
  </si>
  <si>
    <t xml:space="preserve">Зарплата бухгалтеру (30% от ЗПДО)                                                                                                </t>
  </si>
  <si>
    <t>383,80руб. : 29,3дн. Х 28дн. : 12м.</t>
  </si>
  <si>
    <t>Количество  занимающихся   -  10  чел.</t>
  </si>
  <si>
    <t xml:space="preserve">Факт. расходы в месяц  19546,81 руб.:590чел. х10чел.: 240час. норма в мес.х 4 час.    </t>
  </si>
  <si>
    <t xml:space="preserve">Факт. расходы в месяц 80836,25 руб.: 590чел. х 10чел.: 240час. норма в мес. х 4 час. </t>
  </si>
  <si>
    <t xml:space="preserve">Приобретение канцелярских товаров,бумаги .                                                                  </t>
  </si>
  <si>
    <t>Итого прямые затраты:</t>
  </si>
  <si>
    <t xml:space="preserve">6.Общая  стоимость услуги «Театральное мастерство»                                       </t>
  </si>
  <si>
    <t xml:space="preserve">7.Стоимость одного абонента в месяц: 7450 руб. : 10чел.                                                                   </t>
  </si>
  <si>
    <t>Смета № 3</t>
  </si>
  <si>
    <t>01 января 2025г.</t>
  </si>
  <si>
    <t>"Вокал".</t>
  </si>
  <si>
    <t>(индивидуальные занятия)</t>
  </si>
  <si>
    <t xml:space="preserve">   Период обучения: 9 месяцев.</t>
  </si>
  <si>
    <t xml:space="preserve">                    На месяц. </t>
  </si>
  <si>
    <t>Количество  часов  по  учебному  плану в  месяц: 4 часа (1 час в  неделю)</t>
  </si>
  <si>
    <t>Число  занимающихся: 1 человек</t>
  </si>
  <si>
    <t>Стоимость одного часа учебной нагрузки: 199,85 руб.  (14389/72 х 4 час.)</t>
  </si>
  <si>
    <t>899,39 руб. : 29,3дн. Х 56дн. : 12м</t>
  </si>
  <si>
    <t>899,39 руб*30%</t>
  </si>
  <si>
    <t>899,39 руб. : 29,3дн. Х 28дн. : 12м</t>
  </si>
  <si>
    <t xml:space="preserve">Факт. расходы в месяц : 19546,81 руб.:590 чел.х 1 чел.: 240час. норма в мес.х 4 час.    </t>
  </si>
  <si>
    <t xml:space="preserve">Факт. расходы в месяц 80836,25 руб.: 590чел. х 1 чел.: 240час. норма в мес. х 4 час. </t>
  </si>
  <si>
    <t xml:space="preserve">Амортизация фортепиано 8355 руб. х 0,1 : 240час х 4час. норма в месяц            </t>
  </si>
  <si>
    <t xml:space="preserve">5.Средства на развитие мат.тех базы                                                                            </t>
  </si>
  <si>
    <t xml:space="preserve">6.Общая  стоимость услуги «Вокал»                                       </t>
  </si>
  <si>
    <t>7.Стоимость одного абонента в месяц:</t>
  </si>
  <si>
    <t>01 сентября 2024г.</t>
  </si>
  <si>
    <t>Программа 1 "Юный художник"</t>
  </si>
  <si>
    <t>Стоимость одного часа учебной нагрузки:199,85руб.  (14389/72 х 4 час. х 10% за категорию, стаж)</t>
  </si>
  <si>
    <t>1379,33руб*30%</t>
  </si>
  <si>
    <t xml:space="preserve">Зарплата  бухгалтеру   (30% от ЗПДО)                                                                                                </t>
  </si>
  <si>
    <t>Резерв отпуска бугалтера</t>
  </si>
  <si>
    <t xml:space="preserve">Факт. расходы в месяц 80836,25руб.: 590чел. х 5чел.: 240час. норма в мес. х 4 час. </t>
  </si>
  <si>
    <t xml:space="preserve">Приобретение канцтоваров,бумаги, моющих средств, тонера                                                                   </t>
  </si>
  <si>
    <t>5. Доход гимназии № 10 -20 %</t>
  </si>
  <si>
    <t>"Юный художник"</t>
  </si>
  <si>
    <t xml:space="preserve">Смета </t>
  </si>
  <si>
    <t xml:space="preserve">"Музыкальное исполнительство (барабан)" </t>
  </si>
  <si>
    <t xml:space="preserve"> На месяц. Период обучения: 9 месяцев.</t>
  </si>
  <si>
    <t xml:space="preserve">Число  занимающихся: 2 человека (1 группа) </t>
  </si>
  <si>
    <t xml:space="preserve">Заработная плата педагога доп. образования              </t>
  </si>
  <si>
    <t>Стоимость одного часа учебной нагрузки: 199,85руб. (14389/72 х 4час.)</t>
  </si>
  <si>
    <t>Резерв отпуска ПДО</t>
  </si>
  <si>
    <t>899,39 руб. : 29,3дн. Х 56дн. :12м.</t>
  </si>
  <si>
    <t xml:space="preserve">Заработная плата  куратора  (10% от ЗПДО )                                                                                                   </t>
  </si>
  <si>
    <t>899,39 руб. Х 10%</t>
  </si>
  <si>
    <t>89,94 руб.:29,3 дн. Х56дн. :12м.</t>
  </si>
  <si>
    <t xml:space="preserve">Заработная плата  бухгалтера  (10% от ЗПДО )                                                                                               </t>
  </si>
  <si>
    <t>89,94руб.:29,3 дн. Х 28дн. :12м.</t>
  </si>
  <si>
    <t>Районый коэфициент</t>
  </si>
  <si>
    <t>Количество  занимающихся   -  2  чел.</t>
  </si>
  <si>
    <t xml:space="preserve">Факт. расходы в месяц 19546,81 руб.:590 чел. х 2 чел.: 240 час.норма в мес. х 1 час.    </t>
  </si>
  <si>
    <t xml:space="preserve">Факт. расходы в месяц 80836,25 руб.: 590чел. х 2чел.: 240час. норма в мес. х 1 час. </t>
  </si>
  <si>
    <t>Амортизация барабана 8355руб.х 0,1 :240час х 4 час.норма в мес.</t>
  </si>
  <si>
    <t xml:space="preserve">6.Общая  стоимость услуги «Барабан»                                       </t>
  </si>
  <si>
    <t xml:space="preserve">7.Стоимость одного абонента в месяц: 2880руб. : 2чел.                                                                   </t>
  </si>
  <si>
    <t>Директор МБОУ "Гимназия № 10 г. Челябинска"</t>
  </si>
  <si>
    <t>Смета</t>
  </si>
  <si>
    <t>на дополнительную платную образовательную  услугу</t>
  </si>
  <si>
    <t xml:space="preserve">"Музыкальное исполнительство (фортепиано)" </t>
  </si>
  <si>
    <t xml:space="preserve">                       (индивидуальные занятия)</t>
  </si>
  <si>
    <t xml:space="preserve">                     Период обучения: 9 месяцев.</t>
  </si>
  <si>
    <t>На месяц.</t>
  </si>
  <si>
    <t xml:space="preserve">Число  занимающихся: 1 человек  </t>
  </si>
  <si>
    <t xml:space="preserve">Заработная плата педагогу доп. образования              </t>
  </si>
  <si>
    <t>Стимулирующая надбавка</t>
  </si>
  <si>
    <t>899,39руб. : 29,3дн. Х 56дн. :12м.</t>
  </si>
  <si>
    <t xml:space="preserve">Заработная плата  куратора  (20% от ЗПДО )                                                                                                   </t>
  </si>
  <si>
    <t>899,39руб. Х 20%</t>
  </si>
  <si>
    <t>179,88 :29,3 дн. Х56дн. :12м.</t>
  </si>
  <si>
    <t xml:space="preserve">Заработная плата  бухгалтера  (20% от ЗПДО )                                                                                               </t>
  </si>
  <si>
    <t>899,39руб. Х 10%</t>
  </si>
  <si>
    <t>179,88 :29,3 дн. Х 28дн. :12м.</t>
  </si>
  <si>
    <t>Количество  учащихся  в  МБОУ "Гимназия № 10 г. Челябинска" -  590  чел.</t>
  </si>
  <si>
    <t>Количество  занимающихся   -   1  чел.</t>
  </si>
  <si>
    <t xml:space="preserve">Факт. расходы в месяц 19546,81 руб.: 590 чел. х 1чел.: 240час. норма в мес. х 4 час.    </t>
  </si>
  <si>
    <t xml:space="preserve">Факт. расходы в месяц 82653,13руб.: 590чел. х 1чел.: 240час. норма в мес. х 4 час. </t>
  </si>
  <si>
    <t>Амортизация фортепиано 8355руб. х 0,1 : 240час х 4час. норма в месяц</t>
  </si>
  <si>
    <t>Приобретение канцтоваров,бумаги</t>
  </si>
  <si>
    <t xml:space="preserve">5. Итого  прямые  затраты:                                                                                       </t>
  </si>
  <si>
    <t>6. Средства на развитие мат.техн. базы      (5% от себестоимости)</t>
  </si>
  <si>
    <t xml:space="preserve">7.Общая  стоимость услуги  «Музыкальное исполнительство (фортепиано)»                                       </t>
  </si>
  <si>
    <t xml:space="preserve">8.Стоимость одного абонента в месяц: 2550,00 руб.: 1чел.                                                                   </t>
  </si>
  <si>
    <t>___________(Невинная С.Н.)</t>
  </si>
  <si>
    <t>Смета 4</t>
  </si>
  <si>
    <t xml:space="preserve">"Музыкальное исполнительство (аккордеон)" </t>
  </si>
  <si>
    <t>89,94 :29,3 дн. Х56дн. :12м.</t>
  </si>
  <si>
    <t>89,94 :29,3 дн. Х 28дн. :12м.</t>
  </si>
  <si>
    <t xml:space="preserve">Факт. расходы в месяц 80836,25 руб.: 590чел. х 1чел.: 240час. норма в мес. х 4 час. </t>
  </si>
  <si>
    <t>Амортизация аккордеона 15892 руб.80коп. х 0,1 : 240час х 4час. норма в месяц</t>
  </si>
  <si>
    <t>6. Средства на развитие мат.техн. базы   (5% от себестоимости)</t>
  </si>
  <si>
    <t xml:space="preserve">7.Общая  стоимость услуги  «Музыкальное исполнительство (аккордеон)»                                       </t>
  </si>
  <si>
    <t xml:space="preserve">8.Стоимость одного абонента в месяц: 2550 руб.: 1чел.                                                                   </t>
  </si>
  <si>
    <t>Смета 5</t>
  </si>
  <si>
    <t xml:space="preserve">"Музыкальное исполнительство (баян)" </t>
  </si>
  <si>
    <t>Амортизация баяна 5242руб.56коп. х 0,1 : 240час х 4час. норма в месяц</t>
  </si>
  <si>
    <t xml:space="preserve">7.Общая  стоимость услуги  «Музыкальное исполнительство (баян)»                                       </t>
  </si>
  <si>
    <t xml:space="preserve">"Музыкальное исполнительство (балалайка)" </t>
  </si>
  <si>
    <t>Амортизация балалайки 2129,79 руб. х 0,1 : 240час х 4час. норма в месяц</t>
  </si>
  <si>
    <t xml:space="preserve">7.Общая  стоимость услуги  «Музыкальное исполнительство (балалайка)»                                       </t>
  </si>
  <si>
    <t>Амортизация барабана 2016,27 руб. х 0,1 : 240час х 4час. норма в месяц</t>
  </si>
  <si>
    <t>Приобретение канцтоваров, бумаги</t>
  </si>
  <si>
    <t xml:space="preserve">6. Средства на развитие мат.техн. базы (5% от себестоимости) </t>
  </si>
  <si>
    <t xml:space="preserve">7.Общая  стоимость услуги  «Музыкальное исполнительство (барабан)»                                       </t>
  </si>
  <si>
    <t xml:space="preserve">"Музыкальное исполнительство (виолончель)" </t>
  </si>
  <si>
    <t>Амортизация виолончели 16600,00руб. х 0,1 : 240час х 4час. норма в месяц</t>
  </si>
  <si>
    <t xml:space="preserve">7.Общая  стоимость услуги  «Музыкальное исполнительство (виолончель)»                                       </t>
  </si>
  <si>
    <t xml:space="preserve">"Музыкальное исполнительство (гитара)" </t>
  </si>
  <si>
    <t>Амортизация гитары 6260,00 руб. х 0,1 : 240час х 4час. норма в месяц</t>
  </si>
  <si>
    <t xml:space="preserve">6. Средства на развитие мат.техн. базы      (5% </t>
  </si>
  <si>
    <t>от себестоимости)</t>
  </si>
  <si>
    <t xml:space="preserve">7.Общая  стоимость услуги  «Музыкальное исполнительство (гитара)»                                       </t>
  </si>
  <si>
    <t xml:space="preserve">"Музыкальное исполнительство (домра)" </t>
  </si>
  <si>
    <t>Количество  учащихся  в  МБОУ "Гимназия № 10 г. Челябинска" -  590 чел.</t>
  </si>
  <si>
    <t>Амортизация домры 2000,00 руб. х 0,1 : 240час х 4час. норма в месяц</t>
  </si>
  <si>
    <t xml:space="preserve">6. Средства на развитие мат.техн. базы (5% </t>
  </si>
  <si>
    <t xml:space="preserve">7.Общая  стоимость услуги  «Музыкальное исполнительство (домра)»                                       </t>
  </si>
  <si>
    <t xml:space="preserve">"Музыкальное исполнительство (скрипка)" </t>
  </si>
  <si>
    <t>Амортизация скрипки 7590 руб. х 0,1 : 240час х 4час. норма в месяц</t>
  </si>
  <si>
    <t xml:space="preserve">7.Общая  стоимость услуги  «Музыкальное исполнительство (скрипка)»                                       </t>
  </si>
  <si>
    <t xml:space="preserve">"Музыкальное исполнительство (флейта)" </t>
  </si>
  <si>
    <t>Амортизация флейты 3000руб.руб. х 0,1 : 240час х 4час. норма в месяц</t>
  </si>
  <si>
    <t xml:space="preserve">7.Общая  стоимость услуги  «Музыкальное исполнительство (флейта)»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</si>
</sst>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15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4" fillId="0" borderId="1" xfId="0" applyFont="1" applyBorder="1"/>
    <xf numFmtId="0" fontId="6" fillId="0" borderId="4" xfId="0" applyFont="1" applyBorder="1" applyAlignment="1">
      <alignment wrapText="1"/>
    </xf>
    <xf numFmtId="2" fontId="6" fillId="0" borderId="4" xfId="0" applyNumberFormat="1" applyFont="1" applyFill="1" applyBorder="1"/>
    <xf numFmtId="0" fontId="6" fillId="0" borderId="4" xfId="0" applyFont="1" applyBorder="1"/>
    <xf numFmtId="0" fontId="9" fillId="0" borderId="2" xfId="0" applyFont="1" applyBorder="1"/>
    <xf numFmtId="0" fontId="4" fillId="0" borderId="2" xfId="0" applyFont="1" applyBorder="1"/>
    <xf numFmtId="2" fontId="9" fillId="0" borderId="4" xfId="0" applyNumberFormat="1" applyFont="1" applyFill="1" applyBorder="1"/>
    <xf numFmtId="2" fontId="9" fillId="0" borderId="4" xfId="0" applyNumberFormat="1" applyFont="1" applyBorder="1"/>
    <xf numFmtId="2" fontId="6" fillId="0" borderId="3" xfId="0" applyNumberFormat="1" applyFont="1" applyFill="1" applyBorder="1"/>
    <xf numFmtId="2" fontId="6" fillId="0" borderId="4" xfId="0" applyNumberFormat="1" applyFont="1" applyBorder="1"/>
    <xf numFmtId="0" fontId="5" fillId="0" borderId="4" xfId="0" applyFont="1" applyBorder="1"/>
    <xf numFmtId="2" fontId="6" fillId="0" borderId="0" xfId="0" applyNumberFormat="1" applyFont="1"/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10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/>
    <xf numFmtId="0" fontId="1" fillId="0" borderId="0" xfId="0" applyFont="1" applyAlignment="1"/>
    <xf numFmtId="2" fontId="6" fillId="0" borderId="3" xfId="0" applyNumberFormat="1" applyFont="1" applyBorder="1"/>
    <xf numFmtId="2" fontId="6" fillId="0" borderId="0" xfId="0" applyNumberFormat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5" xfId="0" applyFont="1" applyBorder="1"/>
    <xf numFmtId="2" fontId="6" fillId="0" borderId="6" xfId="0" applyNumberFormat="1" applyFont="1" applyBorder="1"/>
    <xf numFmtId="0" fontId="6" fillId="0" borderId="7" xfId="0" applyFont="1" applyBorder="1"/>
    <xf numFmtId="2" fontId="6" fillId="0" borderId="8" xfId="0" applyNumberFormat="1" applyFont="1" applyBorder="1"/>
    <xf numFmtId="0" fontId="4" fillId="0" borderId="4" xfId="0" applyFont="1" applyBorder="1"/>
    <xf numFmtId="0" fontId="9" fillId="0" borderId="4" xfId="0" applyFont="1" applyBorder="1"/>
    <xf numFmtId="0" fontId="9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" fillId="0" borderId="0" xfId="0" applyFont="1" applyBorder="1"/>
    <xf numFmtId="0" fontId="10" fillId="0" borderId="0" xfId="0" applyFont="1" applyBorder="1"/>
    <xf numFmtId="0" fontId="11" fillId="0" borderId="0" xfId="0" applyFont="1" applyBorder="1" applyAlignment="1"/>
    <xf numFmtId="0" fontId="12" fillId="0" borderId="0" xfId="0" applyFont="1" applyBorder="1" applyAlignment="1"/>
    <xf numFmtId="0" fontId="0" fillId="0" borderId="0" xfId="0" applyFont="1" applyBorder="1" applyAlignment="1">
      <alignment horizontal="right"/>
    </xf>
    <xf numFmtId="0" fontId="4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0" fontId="5" fillId="0" borderId="2" xfId="0" applyFont="1" applyBorder="1" applyAlignment="1">
      <alignment horizontal="center"/>
    </xf>
    <xf numFmtId="2" fontId="9" fillId="0" borderId="3" xfId="0" applyNumberFormat="1" applyFont="1" applyBorder="1"/>
    <xf numFmtId="0" fontId="4" fillId="0" borderId="0" xfId="0" applyFont="1" applyBorder="1" applyAlignment="1">
      <alignment horizontal="justify"/>
    </xf>
    <xf numFmtId="0" fontId="6" fillId="0" borderId="0" xfId="0" applyFont="1" applyBorder="1"/>
    <xf numFmtId="2" fontId="15" fillId="0" borderId="4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5" fillId="0" borderId="8" xfId="0" applyFont="1" applyBorder="1"/>
    <xf numFmtId="0" fontId="9" fillId="0" borderId="8" xfId="0" applyFont="1" applyBorder="1"/>
    <xf numFmtId="0" fontId="6" fillId="0" borderId="8" xfId="0" applyFont="1" applyBorder="1"/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2" fontId="4" fillId="0" borderId="4" xfId="0" applyNumberFormat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6" fillId="0" borderId="2" xfId="0" applyFont="1" applyFill="1" applyBorder="1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/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9" fontId="4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9" fillId="0" borderId="12" xfId="0" applyNumberFormat="1" applyFont="1" applyBorder="1"/>
    <xf numFmtId="0" fontId="4" fillId="0" borderId="3" xfId="0" applyFont="1" applyBorder="1"/>
    <xf numFmtId="0" fontId="4" fillId="0" borderId="4" xfId="0" applyFont="1" applyBorder="1" applyAlignment="1">
      <alignment wrapText="1"/>
    </xf>
    <xf numFmtId="2" fontId="4" fillId="0" borderId="4" xfId="0" applyNumberFormat="1" applyFont="1" applyBorder="1"/>
    <xf numFmtId="2" fontId="5" fillId="0" borderId="4" xfId="0" applyNumberFormat="1" applyFont="1" applyBorder="1"/>
    <xf numFmtId="9" fontId="4" fillId="0" borderId="3" xfId="0" applyNumberFormat="1" applyFont="1" applyBorder="1"/>
    <xf numFmtId="2" fontId="5" fillId="0" borderId="3" xfId="0" applyNumberFormat="1" applyFont="1" applyBorder="1"/>
    <xf numFmtId="2" fontId="4" fillId="0" borderId="3" xfId="0" applyNumberFormat="1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8" xfId="0" applyFont="1" applyBorder="1"/>
    <xf numFmtId="0" fontId="5" fillId="0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15" fillId="0" borderId="3" xfId="0" applyFont="1" applyBorder="1" applyAlignment="1"/>
    <xf numFmtId="2" fontId="4" fillId="0" borderId="0" xfId="0" applyNumberFormat="1" applyFont="1"/>
    <xf numFmtId="2" fontId="5" fillId="0" borderId="0" xfId="0" applyNumberFormat="1" applyFont="1" applyBorder="1"/>
    <xf numFmtId="0" fontId="11" fillId="0" borderId="0" xfId="0" applyFont="1"/>
    <xf numFmtId="0" fontId="16" fillId="0" borderId="0" xfId="0" applyFont="1"/>
    <xf numFmtId="0" fontId="16" fillId="0" borderId="0" xfId="0" applyFont="1" applyAlignment="1"/>
    <xf numFmtId="9" fontId="5" fillId="0" borderId="2" xfId="0" applyNumberFormat="1" applyFont="1" applyBorder="1"/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4" fontId="4" fillId="0" borderId="0" xfId="0" applyNumberFormat="1" applyFo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69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69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48"/>
  <sheetViews>
    <sheetView topLeftCell="A10" workbookViewId="0">
      <selection activeCell="A38" sqref="A38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7.7109375" style="5" customWidth="1"/>
    <col min="6" max="6" width="9.140625" style="5"/>
    <col min="7" max="7" width="10.7109375" style="5" customWidth="1"/>
    <col min="8" max="8" width="16.5703125" style="5" customWidth="1"/>
    <col min="9" max="9" width="8.28515625" style="5" customWidth="1"/>
    <col min="10" max="16384" width="9.140625" style="5"/>
  </cols>
  <sheetData>
    <row r="1" spans="1:9" ht="15" customHeight="1" x14ac:dyDescent="0.25">
      <c r="A1" s="4"/>
      <c r="F1" s="3" t="s">
        <v>0</v>
      </c>
      <c r="G1" s="4"/>
      <c r="H1" s="3"/>
      <c r="I1" s="3"/>
    </row>
    <row r="2" spans="1:9" ht="15" customHeight="1" x14ac:dyDescent="0.25">
      <c r="F2" s="3" t="s">
        <v>52</v>
      </c>
      <c r="G2" s="3"/>
      <c r="H2" s="3"/>
      <c r="I2" s="3"/>
    </row>
    <row r="3" spans="1:9" ht="15" customHeight="1" x14ac:dyDescent="0.25">
      <c r="A3" s="4"/>
      <c r="F3" s="3" t="s">
        <v>3</v>
      </c>
      <c r="G3" s="3"/>
      <c r="H3" s="3"/>
      <c r="I3" s="3"/>
    </row>
    <row r="4" spans="1:9" ht="15" customHeight="1" x14ac:dyDescent="0.25">
      <c r="A4" s="4"/>
      <c r="F4" s="3" t="s">
        <v>5</v>
      </c>
      <c r="G4" s="3"/>
      <c r="H4" s="3"/>
      <c r="I4" s="3"/>
    </row>
    <row r="5" spans="1:9" ht="15" x14ac:dyDescent="0.25">
      <c r="A5" s="43"/>
      <c r="D5" s="44" t="s">
        <v>179</v>
      </c>
      <c r="E5" s="45"/>
    </row>
    <row r="6" spans="1:9" ht="15" x14ac:dyDescent="0.25">
      <c r="B6" s="43"/>
      <c r="E6" s="44" t="s">
        <v>119</v>
      </c>
    </row>
    <row r="7" spans="1:9" x14ac:dyDescent="0.2">
      <c r="D7" s="44" t="s">
        <v>180</v>
      </c>
      <c r="E7" s="44"/>
    </row>
    <row r="8" spans="1:9" x14ac:dyDescent="0.2">
      <c r="D8" s="44" t="s">
        <v>181</v>
      </c>
    </row>
    <row r="9" spans="1:9" ht="15" x14ac:dyDescent="0.25">
      <c r="A9" s="46" t="s">
        <v>121</v>
      </c>
      <c r="C9" s="47"/>
    </row>
    <row r="10" spans="1:9" ht="15" x14ac:dyDescent="0.25">
      <c r="D10" s="48" t="s">
        <v>182</v>
      </c>
    </row>
    <row r="12" spans="1:9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16"/>
    </row>
    <row r="13" spans="1:9" ht="38.25" customHeight="1" x14ac:dyDescent="0.25">
      <c r="A13" s="83" t="s">
        <v>183</v>
      </c>
      <c r="B13" s="84"/>
      <c r="C13" s="84"/>
      <c r="D13" s="84"/>
      <c r="E13" s="85"/>
      <c r="F13" s="86" t="s">
        <v>184</v>
      </c>
      <c r="G13" s="86"/>
      <c r="H13" s="86"/>
      <c r="I13" s="87">
        <f>14389/72*4</f>
        <v>799.38888888888891</v>
      </c>
    </row>
    <row r="14" spans="1:9" ht="15.75" customHeight="1" x14ac:dyDescent="0.25">
      <c r="A14" s="88" t="s">
        <v>15</v>
      </c>
      <c r="B14" s="89"/>
      <c r="C14" s="89"/>
      <c r="D14" s="90"/>
      <c r="E14" s="90"/>
      <c r="F14" s="91"/>
      <c r="G14" s="91"/>
      <c r="H14" s="92"/>
      <c r="I14" s="87">
        <v>100</v>
      </c>
    </row>
    <row r="15" spans="1:9" ht="15" x14ac:dyDescent="0.25">
      <c r="A15" s="88" t="s">
        <v>185</v>
      </c>
      <c r="B15" s="90"/>
      <c r="C15" s="90"/>
      <c r="D15" s="90"/>
      <c r="E15" s="90"/>
      <c r="F15" s="93" t="s">
        <v>186</v>
      </c>
      <c r="G15" s="94"/>
      <c r="H15" s="95"/>
      <c r="I15" s="87">
        <f>(I13+I14)/29.3*56/12</f>
        <v>143.24737706990268</v>
      </c>
    </row>
    <row r="16" spans="1:9" ht="21.75" customHeight="1" x14ac:dyDescent="0.25">
      <c r="A16" s="88" t="s">
        <v>187</v>
      </c>
      <c r="B16" s="90"/>
      <c r="C16" s="90"/>
      <c r="D16" s="90"/>
      <c r="E16" s="90"/>
      <c r="F16" s="96" t="s">
        <v>188</v>
      </c>
      <c r="G16" s="91"/>
      <c r="H16" s="92"/>
      <c r="I16" s="87">
        <f>899.39*0.1</f>
        <v>89.939000000000007</v>
      </c>
    </row>
    <row r="17" spans="1:9" ht="21.75" customHeight="1" x14ac:dyDescent="0.25">
      <c r="A17" s="88" t="s">
        <v>20</v>
      </c>
      <c r="B17" s="89"/>
      <c r="C17" s="89"/>
      <c r="D17" s="90"/>
      <c r="E17" s="90"/>
      <c r="F17" s="96" t="s">
        <v>189</v>
      </c>
      <c r="G17" s="91"/>
      <c r="H17" s="92"/>
      <c r="I17" s="87">
        <f>(I13+I14)/29.3*56/12</f>
        <v>143.24737706990268</v>
      </c>
    </row>
    <row r="18" spans="1:9" ht="27.75" customHeight="1" x14ac:dyDescent="0.25">
      <c r="A18" s="83" t="s">
        <v>190</v>
      </c>
      <c r="B18" s="84"/>
      <c r="C18" s="84"/>
      <c r="D18" s="84"/>
      <c r="E18" s="85"/>
      <c r="F18" s="83" t="s">
        <v>188</v>
      </c>
      <c r="G18" s="84"/>
      <c r="H18" s="85"/>
      <c r="I18" s="87">
        <f>849.39*0.1</f>
        <v>84.939000000000007</v>
      </c>
    </row>
    <row r="19" spans="1:9" ht="18" customHeight="1" x14ac:dyDescent="0.25">
      <c r="A19" s="88" t="s">
        <v>24</v>
      </c>
      <c r="B19" s="97"/>
      <c r="C19" s="97"/>
      <c r="D19" s="97"/>
      <c r="E19" s="97"/>
      <c r="F19" s="96" t="s">
        <v>191</v>
      </c>
      <c r="G19" s="97"/>
      <c r="H19" s="98"/>
      <c r="I19" s="87">
        <f>(I13+I14)/29.3*28/12</f>
        <v>71.623688534951341</v>
      </c>
    </row>
    <row r="20" spans="1:9" ht="36" customHeight="1" x14ac:dyDescent="0.25">
      <c r="A20" s="14" t="s">
        <v>26</v>
      </c>
      <c r="B20" s="15"/>
      <c r="C20" s="15"/>
      <c r="D20" s="15"/>
      <c r="E20" s="15"/>
      <c r="F20" s="99"/>
      <c r="G20" s="99"/>
      <c r="H20" s="100"/>
      <c r="I20" s="24">
        <f>SUM(I13:I19)</f>
        <v>1432.3853315636459</v>
      </c>
    </row>
    <row r="21" spans="1:9" ht="36" customHeight="1" x14ac:dyDescent="0.25">
      <c r="A21" s="14" t="s">
        <v>192</v>
      </c>
      <c r="B21" s="15"/>
      <c r="C21" s="15"/>
      <c r="D21" s="15"/>
      <c r="E21" s="101">
        <v>0.15</v>
      </c>
      <c r="F21" s="102"/>
      <c r="G21" s="102"/>
      <c r="H21" s="103"/>
      <c r="I21" s="104">
        <f>I20*0.15</f>
        <v>214.85779973454689</v>
      </c>
    </row>
    <row r="22" spans="1:9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04">
        <f>(I20+I21)*30.2%</f>
        <v>497.4674256520542</v>
      </c>
    </row>
    <row r="23" spans="1:9" x14ac:dyDescent="0.2">
      <c r="A23" s="14" t="s">
        <v>68</v>
      </c>
      <c r="B23" s="15"/>
      <c r="C23" s="15"/>
      <c r="D23" s="15"/>
      <c r="E23" s="15"/>
      <c r="F23" s="15"/>
      <c r="G23" s="15"/>
      <c r="H23" s="15"/>
      <c r="I23" s="26"/>
    </row>
    <row r="24" spans="1:9" ht="15" x14ac:dyDescent="0.25">
      <c r="A24" s="17" t="s">
        <v>69</v>
      </c>
      <c r="B24" s="15"/>
      <c r="C24" s="15"/>
      <c r="D24" s="15"/>
      <c r="E24" s="15"/>
      <c r="F24" s="15"/>
      <c r="G24" s="15"/>
      <c r="H24" s="15"/>
      <c r="I24" s="26"/>
    </row>
    <row r="25" spans="1:9" ht="15" x14ac:dyDescent="0.25">
      <c r="A25" s="17" t="s">
        <v>193</v>
      </c>
      <c r="B25" s="15"/>
      <c r="C25" s="15"/>
      <c r="D25" s="15"/>
      <c r="E25" s="15"/>
      <c r="F25" s="15"/>
      <c r="G25" s="15"/>
      <c r="H25" s="15"/>
      <c r="I25" s="26"/>
    </row>
    <row r="26" spans="1:9" ht="15" x14ac:dyDescent="0.25">
      <c r="A26" s="17" t="s">
        <v>95</v>
      </c>
      <c r="B26" s="15"/>
      <c r="C26" s="15"/>
      <c r="D26" s="15"/>
      <c r="E26" s="15"/>
      <c r="F26" s="15"/>
      <c r="G26" s="15"/>
      <c r="H26" s="15"/>
      <c r="I26" s="26"/>
    </row>
    <row r="27" spans="1:9" ht="15" x14ac:dyDescent="0.25">
      <c r="A27" s="17" t="s">
        <v>70</v>
      </c>
      <c r="B27" s="15"/>
      <c r="C27" s="15"/>
      <c r="D27" s="15"/>
      <c r="E27" s="15"/>
      <c r="F27" s="15"/>
      <c r="G27" s="15"/>
      <c r="H27" s="15"/>
      <c r="I27" s="26"/>
    </row>
    <row r="28" spans="1:9" ht="15" x14ac:dyDescent="0.25">
      <c r="A28" s="68" t="s">
        <v>194</v>
      </c>
      <c r="B28" s="15"/>
      <c r="C28" s="15"/>
      <c r="D28" s="15"/>
      <c r="E28" s="15"/>
      <c r="F28" s="15"/>
      <c r="G28" s="15"/>
      <c r="H28" s="15"/>
      <c r="I28" s="26">
        <f>19546.81/590*2/240*1</f>
        <v>0.2760848870056497</v>
      </c>
    </row>
    <row r="29" spans="1:9" ht="15" x14ac:dyDescent="0.25">
      <c r="A29" s="17" t="s">
        <v>72</v>
      </c>
      <c r="B29" s="15"/>
      <c r="C29" s="15"/>
      <c r="D29" s="15"/>
      <c r="E29" s="15"/>
      <c r="F29" s="15"/>
      <c r="G29" s="15"/>
      <c r="H29" s="15"/>
      <c r="I29" s="40"/>
    </row>
    <row r="30" spans="1:9" ht="15" x14ac:dyDescent="0.25">
      <c r="A30" s="68" t="s">
        <v>195</v>
      </c>
      <c r="B30" s="15"/>
      <c r="C30" s="15"/>
      <c r="D30" s="15"/>
      <c r="E30" s="15"/>
      <c r="F30" s="15"/>
      <c r="G30" s="15"/>
      <c r="H30" s="16"/>
      <c r="I30" s="26">
        <f>80836.25/590*2/240*1</f>
        <v>1.1417549435028249</v>
      </c>
    </row>
    <row r="31" spans="1:9" x14ac:dyDescent="0.2">
      <c r="A31" s="14" t="s">
        <v>74</v>
      </c>
      <c r="B31" s="15"/>
      <c r="C31" s="15"/>
      <c r="D31" s="15"/>
      <c r="E31" s="15"/>
      <c r="F31" s="15"/>
      <c r="G31" s="15"/>
      <c r="H31" s="16"/>
      <c r="I31" s="28"/>
    </row>
    <row r="32" spans="1:9" ht="15" x14ac:dyDescent="0.25">
      <c r="A32" s="53" t="s">
        <v>196</v>
      </c>
      <c r="B32" s="20"/>
      <c r="C32" s="20"/>
      <c r="D32" s="20"/>
      <c r="E32" s="20"/>
      <c r="F32" s="20"/>
      <c r="G32" s="20"/>
      <c r="H32" s="20"/>
      <c r="I32" s="26">
        <v>13.93</v>
      </c>
    </row>
    <row r="33" spans="1:12" ht="15" x14ac:dyDescent="0.25">
      <c r="A33" s="53" t="s">
        <v>147</v>
      </c>
      <c r="B33" s="20"/>
      <c r="C33" s="20"/>
      <c r="D33" s="20"/>
      <c r="E33" s="20"/>
      <c r="F33" s="20"/>
      <c r="G33" s="20"/>
      <c r="H33" s="20"/>
      <c r="I33" s="26">
        <v>239.94</v>
      </c>
      <c r="J33" s="28"/>
    </row>
    <row r="34" spans="1:12" ht="15" x14ac:dyDescent="0.25">
      <c r="A34" s="27" t="s">
        <v>77</v>
      </c>
      <c r="B34" s="20"/>
      <c r="C34" s="20"/>
      <c r="D34" s="20"/>
      <c r="E34" s="20"/>
      <c r="F34" s="20"/>
      <c r="G34" s="20"/>
      <c r="H34" s="20"/>
      <c r="I34" s="24">
        <f>SUM(I20:I33)</f>
        <v>2399.9983967807552</v>
      </c>
    </row>
    <row r="35" spans="1:12" ht="15" x14ac:dyDescent="0.25">
      <c r="A35" s="27" t="s">
        <v>78</v>
      </c>
      <c r="B35" s="20"/>
      <c r="C35" s="20"/>
      <c r="D35" s="20"/>
      <c r="E35" s="20"/>
      <c r="F35" s="20"/>
      <c r="G35" s="20"/>
      <c r="H35" s="20"/>
      <c r="I35" s="74">
        <f>I34*20%</f>
        <v>479.99967935615109</v>
      </c>
    </row>
    <row r="36" spans="1:12" ht="15" x14ac:dyDescent="0.25">
      <c r="A36" s="27" t="s">
        <v>197</v>
      </c>
      <c r="B36" s="54"/>
      <c r="C36" s="54"/>
      <c r="D36" s="54"/>
      <c r="E36" s="54"/>
      <c r="F36" s="54"/>
      <c r="G36" s="54"/>
      <c r="H36" s="20"/>
      <c r="I36" s="74">
        <f>SUM(I34:I35)</f>
        <v>2879.9980761369061</v>
      </c>
    </row>
    <row r="37" spans="1:12" ht="15" x14ac:dyDescent="0.25">
      <c r="A37" s="27" t="s">
        <v>198</v>
      </c>
      <c r="B37" s="54"/>
      <c r="C37" s="54"/>
      <c r="D37" s="54"/>
      <c r="E37" s="54"/>
      <c r="F37" s="54"/>
      <c r="G37" s="54"/>
      <c r="H37" s="20"/>
      <c r="I37" s="24">
        <f>I36/2</f>
        <v>1439.999038068453</v>
      </c>
    </row>
    <row r="38" spans="1:12" ht="15" x14ac:dyDescent="0.25">
      <c r="A38" s="4"/>
      <c r="B38" s="55"/>
      <c r="C38" s="55"/>
      <c r="D38" s="55"/>
      <c r="E38" s="55"/>
      <c r="F38" s="55"/>
      <c r="G38" s="55"/>
    </row>
    <row r="39" spans="1:12" ht="15" x14ac:dyDescent="0.25">
      <c r="A39" s="29"/>
    </row>
    <row r="40" spans="1:12" ht="15" x14ac:dyDescent="0.25">
      <c r="A40" s="30" t="s">
        <v>36</v>
      </c>
      <c r="B40" s="31"/>
      <c r="C40" s="31"/>
      <c r="D40" s="31"/>
      <c r="E40" s="31" t="s">
        <v>37</v>
      </c>
      <c r="F40" s="31"/>
      <c r="G40" s="30" t="s">
        <v>82</v>
      </c>
      <c r="H40" s="31"/>
      <c r="I40" s="31"/>
    </row>
    <row r="41" spans="1:12" ht="15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 x14ac:dyDescent="0.2">
      <c r="A42" s="33"/>
      <c r="B42" s="33"/>
      <c r="C42" s="33"/>
      <c r="D42" s="33"/>
      <c r="E42" s="33"/>
      <c r="F42" s="33"/>
      <c r="G42" s="33"/>
      <c r="H42" s="33"/>
      <c r="I42" s="31"/>
      <c r="J42" s="31"/>
      <c r="K42" s="31"/>
      <c r="L42" s="31"/>
    </row>
    <row r="43" spans="1:12" s="34" customFormat="1" ht="12.75" x14ac:dyDescent="0.2">
      <c r="A43" s="56"/>
      <c r="C43" s="35"/>
      <c r="D43" s="33"/>
      <c r="E43" s="33"/>
      <c r="F43" s="33"/>
      <c r="G43" s="33"/>
      <c r="H43" s="37"/>
      <c r="I43" s="37"/>
      <c r="J43" s="33"/>
      <c r="K43" s="33"/>
      <c r="L43" s="33"/>
    </row>
    <row r="44" spans="1:12" s="34" customFormat="1" ht="12" x14ac:dyDescent="0.2">
      <c r="C44" s="35"/>
      <c r="D44" s="33"/>
      <c r="E44" s="33"/>
      <c r="F44" s="33"/>
      <c r="G44" s="33"/>
      <c r="H44" s="37"/>
      <c r="I44" s="37"/>
      <c r="J44" s="37"/>
      <c r="K44" s="33"/>
      <c r="L44" s="33"/>
    </row>
    <row r="45" spans="1:12" s="34" customFormat="1" x14ac:dyDescent="0.2">
      <c r="C45" s="5"/>
      <c r="D45" s="5"/>
      <c r="E45" s="5"/>
      <c r="F45" s="5"/>
      <c r="G45" s="5"/>
      <c r="H45" s="5"/>
      <c r="I45" s="5"/>
      <c r="J45" s="37"/>
      <c r="K45" s="33"/>
      <c r="L45" s="33"/>
    </row>
    <row r="46" spans="1:12" s="34" customFormat="1" x14ac:dyDescent="0.2">
      <c r="A46" s="35"/>
      <c r="B46" s="33"/>
      <c r="C46" s="33"/>
      <c r="D46" s="33"/>
      <c r="E46" s="33"/>
      <c r="F46" s="33"/>
      <c r="G46" s="33"/>
      <c r="H46" s="33"/>
      <c r="I46" s="31"/>
      <c r="J46" s="37"/>
      <c r="K46" s="33"/>
      <c r="L46" s="33"/>
    </row>
    <row r="47" spans="1:12" s="34" customForma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3"/>
      <c r="K47" s="33"/>
      <c r="L47" s="33"/>
    </row>
    <row r="48" spans="1:12" x14ac:dyDescent="0.2">
      <c r="J48" s="31"/>
      <c r="K48" s="31"/>
      <c r="L48" s="31"/>
    </row>
  </sheetData>
  <mergeCells count="6">
    <mergeCell ref="A13:E13"/>
    <mergeCell ref="F13:H13"/>
    <mergeCell ref="F15:H15"/>
    <mergeCell ref="A18:E18"/>
    <mergeCell ref="F18:H18"/>
    <mergeCell ref="F20:H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0"/>
  <sheetViews>
    <sheetView topLeftCell="A16" zoomScaleNormal="100" workbookViewId="0">
      <selection activeCell="A38" sqref="A38:H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4.5703125" style="3" customWidth="1"/>
    <col min="7" max="7" width="10.7109375" style="3" hidden="1" customWidth="1"/>
    <col min="8" max="8" width="13.7109375" style="3" hidden="1" customWidth="1"/>
    <col min="9" max="9" width="32.140625" style="3" customWidth="1"/>
    <col min="10" max="10" width="9.1406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200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260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46.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24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0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18333.73/590*1/240*4</f>
        <v>0.51790197740112986</v>
      </c>
    </row>
    <row r="32" spans="1:10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4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4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4" x14ac:dyDescent="0.25">
      <c r="A35" s="68" t="s">
        <v>261</v>
      </c>
      <c r="B35" s="112"/>
      <c r="C35" s="112"/>
      <c r="D35" s="112"/>
      <c r="E35" s="112"/>
      <c r="F35" s="112"/>
      <c r="G35" s="112"/>
      <c r="H35" s="113"/>
      <c r="I35" s="113"/>
      <c r="J35" s="107">
        <v>12.65</v>
      </c>
    </row>
    <row r="36" spans="1:14" x14ac:dyDescent="0.25">
      <c r="A36" s="17" t="s">
        <v>221</v>
      </c>
      <c r="B36" s="22"/>
      <c r="C36" s="22"/>
      <c r="D36" s="22"/>
      <c r="E36" s="22"/>
      <c r="F36" s="22"/>
      <c r="G36" s="22"/>
      <c r="H36" s="105"/>
      <c r="I36" s="105"/>
      <c r="J36" s="111">
        <v>550.48</v>
      </c>
    </row>
    <row r="37" spans="1:14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14"/>
      <c r="J37" s="108">
        <f>SUM(J24:J36)</f>
        <v>2428.5743342041869</v>
      </c>
    </row>
    <row r="38" spans="1:14" x14ac:dyDescent="0.25">
      <c r="A38" s="125" t="s">
        <v>252</v>
      </c>
      <c r="B38" s="131"/>
      <c r="C38" s="131"/>
      <c r="D38" s="131"/>
      <c r="E38" s="131"/>
      <c r="F38" s="131"/>
      <c r="G38" s="131"/>
      <c r="H38" s="132"/>
      <c r="I38" s="118" t="s">
        <v>253</v>
      </c>
      <c r="J38" s="108">
        <f>J37*5%</f>
        <v>121.42871671020936</v>
      </c>
    </row>
    <row r="39" spans="1:14" x14ac:dyDescent="0.25">
      <c r="A39" s="27" t="s">
        <v>262</v>
      </c>
      <c r="B39" s="27"/>
      <c r="C39" s="27"/>
      <c r="D39" s="27"/>
      <c r="E39" s="27"/>
      <c r="F39" s="27"/>
      <c r="G39" s="27"/>
      <c r="H39" s="53"/>
      <c r="I39" s="53"/>
      <c r="J39" s="108">
        <f>J37+J38</f>
        <v>2550.0030509143962</v>
      </c>
    </row>
    <row r="40" spans="1:14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53"/>
      <c r="J40" s="108">
        <f>J39</f>
        <v>2550.0030509143962</v>
      </c>
      <c r="M40" s="119"/>
    </row>
    <row r="41" spans="1:14" x14ac:dyDescent="0.25">
      <c r="A41" s="29"/>
    </row>
    <row r="42" spans="1:14" x14ac:dyDescent="0.25">
      <c r="A42" s="29"/>
    </row>
    <row r="43" spans="1:14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120"/>
      <c r="K43" s="30"/>
      <c r="L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x14ac:dyDescent="0.25">
      <c r="A46" s="122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 t="s">
        <v>226</v>
      </c>
      <c r="I47" s="123"/>
      <c r="J47" s="123"/>
      <c r="K47" s="35"/>
      <c r="L47" s="35"/>
      <c r="M47" s="35"/>
      <c r="N47" s="35"/>
    </row>
    <row r="48" spans="1:14" s="121" customFormat="1" ht="12.75" x14ac:dyDescent="0.2">
      <c r="C48" s="35"/>
      <c r="D48" s="35"/>
      <c r="E48" s="35"/>
      <c r="F48" s="35"/>
      <c r="G48" s="35"/>
      <c r="H48" s="123"/>
      <c r="I48" s="123"/>
      <c r="J48" s="123"/>
      <c r="K48" s="35"/>
      <c r="L48" s="35"/>
      <c r="M48" s="35"/>
      <c r="N48" s="35"/>
    </row>
    <row r="49" spans="1:14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0"/>
      <c r="K49" s="35"/>
      <c r="L49" s="35"/>
      <c r="M49" s="35"/>
      <c r="N49" s="35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</sheetData>
  <mergeCells count="1">
    <mergeCell ref="A38:H38"/>
  </mergeCells>
  <pageMargins left="0.75" right="0.75" top="1" bottom="1" header="0.5" footer="0.5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6"/>
  <sheetViews>
    <sheetView tabSelected="1" topLeftCell="A16" zoomScaleNormal="100" workbookViewId="0">
      <selection activeCell="L36" sqref="L36:M36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7.7109375" style="5" customWidth="1"/>
    <col min="6" max="6" width="0.28515625" style="5" hidden="1" customWidth="1"/>
    <col min="7" max="7" width="1.7109375" style="5" hidden="1" customWidth="1"/>
    <col min="8" max="8" width="16.42578125" style="5" hidden="1" customWidth="1"/>
    <col min="9" max="9" width="37.28515625" style="5" customWidth="1"/>
    <col min="10" max="10" width="12.5703125" style="5" customWidth="1"/>
    <col min="11" max="16384" width="9.140625" style="5"/>
  </cols>
  <sheetData>
    <row r="1" spans="1:13" ht="15" customHeight="1" x14ac:dyDescent="0.25">
      <c r="A1" s="4"/>
      <c r="F1" s="3" t="s">
        <v>0</v>
      </c>
      <c r="G1" s="4"/>
      <c r="H1" s="3"/>
      <c r="I1" s="3" t="s">
        <v>0</v>
      </c>
      <c r="J1" s="4"/>
      <c r="K1" s="3"/>
      <c r="M1" s="3"/>
    </row>
    <row r="2" spans="1:13" ht="15" customHeight="1" x14ac:dyDescent="0.25">
      <c r="F2" s="3" t="s">
        <v>52</v>
      </c>
      <c r="G2" s="3"/>
      <c r="H2" s="3"/>
      <c r="I2" s="3" t="s">
        <v>52</v>
      </c>
      <c r="J2" s="3"/>
      <c r="K2" s="3"/>
      <c r="L2" s="3"/>
      <c r="M2" s="3"/>
    </row>
    <row r="3" spans="1:13" ht="15" customHeight="1" x14ac:dyDescent="0.25">
      <c r="A3" s="4"/>
      <c r="F3" s="3" t="s">
        <v>3</v>
      </c>
      <c r="G3" s="3"/>
      <c r="H3" s="3"/>
      <c r="I3" s="3" t="s">
        <v>3</v>
      </c>
      <c r="J3" s="3"/>
      <c r="K3" s="3"/>
      <c r="L3" s="3"/>
      <c r="M3" s="3"/>
    </row>
    <row r="4" spans="1:13" ht="15" customHeight="1" x14ac:dyDescent="0.25">
      <c r="A4" s="4"/>
      <c r="F4" s="3" t="s">
        <v>101</v>
      </c>
      <c r="G4" s="3"/>
      <c r="H4" s="3"/>
      <c r="I4" s="3" t="s">
        <v>5</v>
      </c>
      <c r="J4" s="3"/>
      <c r="K4" s="3"/>
      <c r="L4" s="3"/>
      <c r="M4" s="3"/>
    </row>
    <row r="5" spans="1:13" ht="15" x14ac:dyDescent="0.25">
      <c r="A5" s="43"/>
      <c r="B5" s="57"/>
      <c r="C5" s="57"/>
      <c r="D5" s="44" t="s">
        <v>151</v>
      </c>
      <c r="E5" s="58"/>
      <c r="F5" s="57"/>
      <c r="G5" s="57" t="s">
        <v>152</v>
      </c>
    </row>
    <row r="6" spans="1:13" ht="15" x14ac:dyDescent="0.25">
      <c r="B6" s="48"/>
      <c r="C6" s="57"/>
      <c r="D6" s="57"/>
      <c r="E6" s="44" t="s">
        <v>103</v>
      </c>
      <c r="F6" s="57"/>
      <c r="G6" s="57"/>
    </row>
    <row r="7" spans="1:13" x14ac:dyDescent="0.2">
      <c r="B7" s="57"/>
      <c r="C7" s="57"/>
      <c r="D7" s="57"/>
      <c r="E7" s="44" t="s">
        <v>153</v>
      </c>
      <c r="F7" s="57"/>
      <c r="G7" s="57"/>
    </row>
    <row r="8" spans="1:13" x14ac:dyDescent="0.2">
      <c r="B8" s="57"/>
      <c r="C8" s="57"/>
      <c r="E8" s="44" t="s">
        <v>154</v>
      </c>
      <c r="F8" s="57"/>
      <c r="G8" s="57"/>
    </row>
    <row r="9" spans="1:13" x14ac:dyDescent="0.2">
      <c r="B9" s="57"/>
      <c r="C9" s="57"/>
      <c r="D9" s="44" t="s">
        <v>155</v>
      </c>
      <c r="E9" s="57"/>
      <c r="F9" s="57"/>
      <c r="G9" s="57"/>
    </row>
    <row r="10" spans="1:13" x14ac:dyDescent="0.2">
      <c r="B10" s="57"/>
      <c r="C10" s="57"/>
      <c r="D10" s="44" t="s">
        <v>156</v>
      </c>
      <c r="E10" s="57"/>
      <c r="F10" s="57"/>
      <c r="G10" s="57"/>
    </row>
    <row r="11" spans="1:13" ht="15" x14ac:dyDescent="0.25">
      <c r="A11" s="46" t="s">
        <v>157</v>
      </c>
      <c r="C11" s="47"/>
    </row>
    <row r="12" spans="1:13" ht="15" x14ac:dyDescent="0.25">
      <c r="D12" s="48" t="s">
        <v>158</v>
      </c>
    </row>
    <row r="14" spans="1:13" x14ac:dyDescent="0.2">
      <c r="A14" s="14" t="s">
        <v>12</v>
      </c>
      <c r="B14" s="15"/>
      <c r="C14" s="15"/>
      <c r="D14" s="15"/>
      <c r="E14" s="15"/>
      <c r="F14" s="15"/>
      <c r="G14" s="15"/>
      <c r="H14" s="15"/>
      <c r="I14" s="20"/>
      <c r="J14" s="16"/>
    </row>
    <row r="15" spans="1:13" ht="43.5" customHeight="1" x14ac:dyDescent="0.25">
      <c r="A15" s="17" t="s">
        <v>107</v>
      </c>
      <c r="B15" s="15"/>
      <c r="C15" s="15"/>
      <c r="D15" s="15"/>
      <c r="E15" s="15"/>
      <c r="F15" s="15"/>
      <c r="G15" s="15"/>
      <c r="H15" s="15"/>
      <c r="I15" s="18" t="s">
        <v>159</v>
      </c>
      <c r="J15" s="40">
        <f>14389/72*4</f>
        <v>799.38888888888891</v>
      </c>
    </row>
    <row r="16" spans="1:13" ht="15" x14ac:dyDescent="0.25">
      <c r="A16" s="17" t="s">
        <v>15</v>
      </c>
      <c r="B16" s="15"/>
      <c r="C16" s="15"/>
      <c r="D16" s="15"/>
      <c r="E16" s="15"/>
      <c r="F16" s="15"/>
      <c r="G16" s="15"/>
      <c r="H16" s="16"/>
      <c r="I16" s="18"/>
      <c r="J16" s="26">
        <v>100</v>
      </c>
    </row>
    <row r="17" spans="1:10" ht="15" x14ac:dyDescent="0.25">
      <c r="A17" s="17" t="s">
        <v>16</v>
      </c>
      <c r="B17" s="15"/>
      <c r="C17" s="15"/>
      <c r="D17" s="15"/>
      <c r="E17" s="15"/>
      <c r="F17" s="15"/>
      <c r="G17" s="15"/>
      <c r="H17" s="15"/>
      <c r="I17" s="20" t="s">
        <v>160</v>
      </c>
      <c r="J17" s="40">
        <f>(J15+J16)/29.3*56/12</f>
        <v>143.24737706990268</v>
      </c>
    </row>
    <row r="18" spans="1:10" ht="15" x14ac:dyDescent="0.25">
      <c r="A18" s="17" t="s">
        <v>62</v>
      </c>
      <c r="B18" s="15"/>
      <c r="C18" s="15"/>
      <c r="D18" s="15"/>
      <c r="E18" s="15"/>
      <c r="F18" s="15"/>
      <c r="G18" s="15"/>
      <c r="H18" s="15"/>
      <c r="I18" s="20" t="s">
        <v>161</v>
      </c>
      <c r="J18" s="40">
        <f>(J15+J16)*10%</f>
        <v>89.938888888888897</v>
      </c>
    </row>
    <row r="19" spans="1:10" ht="15" x14ac:dyDescent="0.25">
      <c r="A19" s="17" t="s">
        <v>20</v>
      </c>
      <c r="B19" s="15"/>
      <c r="C19" s="15"/>
      <c r="D19" s="15"/>
      <c r="E19" s="15"/>
      <c r="F19" s="15"/>
      <c r="G19" s="15"/>
      <c r="H19" s="15"/>
      <c r="I19" s="20" t="s">
        <v>160</v>
      </c>
      <c r="J19" s="40">
        <f>J18/29.3*56/12</f>
        <v>14.324737706990268</v>
      </c>
    </row>
    <row r="20" spans="1:10" ht="15" x14ac:dyDescent="0.25">
      <c r="A20" s="17" t="s">
        <v>93</v>
      </c>
      <c r="B20" s="15"/>
      <c r="C20" s="15"/>
      <c r="D20" s="15"/>
      <c r="E20" s="15"/>
      <c r="F20" s="15"/>
      <c r="G20" s="15"/>
      <c r="H20" s="15"/>
      <c r="I20" s="20" t="s">
        <v>161</v>
      </c>
      <c r="J20" s="40">
        <f>J18</f>
        <v>89.938888888888897</v>
      </c>
    </row>
    <row r="21" spans="1:10" ht="15" x14ac:dyDescent="0.25">
      <c r="A21" s="17" t="s">
        <v>24</v>
      </c>
      <c r="B21" s="15"/>
      <c r="C21" s="15"/>
      <c r="D21" s="15"/>
      <c r="E21" s="15"/>
      <c r="F21" s="15"/>
      <c r="G21" s="15"/>
      <c r="H21" s="15"/>
      <c r="I21" s="20" t="s">
        <v>162</v>
      </c>
      <c r="J21" s="40">
        <f>J20/29.3*28/12</f>
        <v>7.162368853495134</v>
      </c>
    </row>
    <row r="22" spans="1:10" ht="15" x14ac:dyDescent="0.25">
      <c r="A22" s="14" t="s">
        <v>26</v>
      </c>
      <c r="B22" s="21"/>
      <c r="C22" s="21"/>
      <c r="D22" s="21"/>
      <c r="E22" s="15"/>
      <c r="F22" s="15"/>
      <c r="G22" s="22"/>
      <c r="H22" s="16"/>
      <c r="I22" s="20"/>
      <c r="J22" s="24">
        <f>SUM(J15:J21)</f>
        <v>1244.0011502970547</v>
      </c>
    </row>
    <row r="23" spans="1:10" ht="15" x14ac:dyDescent="0.25">
      <c r="A23" s="14" t="s">
        <v>27</v>
      </c>
      <c r="B23" s="21"/>
      <c r="C23" s="21"/>
      <c r="D23" s="21"/>
      <c r="E23" s="15"/>
      <c r="F23" s="15"/>
      <c r="G23" s="22"/>
      <c r="H23" s="16"/>
      <c r="I23" s="16"/>
      <c r="J23" s="24">
        <f>SUM(J12:J21)*15%</f>
        <v>186.60017254455821</v>
      </c>
    </row>
    <row r="24" spans="1:10" ht="15" x14ac:dyDescent="0.25">
      <c r="A24" s="14" t="s">
        <v>28</v>
      </c>
      <c r="B24" s="15"/>
      <c r="C24" s="15"/>
      <c r="D24" s="15"/>
      <c r="E24" s="15"/>
      <c r="F24" s="15"/>
      <c r="G24" s="15"/>
      <c r="H24" s="16"/>
      <c r="I24" s="16"/>
      <c r="J24" s="24">
        <f>(J22+J23)*30.2%</f>
        <v>432.0415994981671</v>
      </c>
    </row>
    <row r="25" spans="1:10" ht="15" x14ac:dyDescent="0.25">
      <c r="A25" s="17" t="s">
        <v>95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0" ht="15" x14ac:dyDescent="0.25">
      <c r="A26" s="17" t="s">
        <v>70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17" t="s">
        <v>163</v>
      </c>
      <c r="B27" s="15"/>
      <c r="C27" s="15"/>
      <c r="D27" s="15"/>
      <c r="E27" s="15"/>
      <c r="F27" s="15"/>
      <c r="G27" s="15"/>
      <c r="H27" s="16"/>
      <c r="I27" s="49"/>
      <c r="J27" s="50">
        <f>19546.81/590*1/240*4</f>
        <v>0.55216977401129941</v>
      </c>
    </row>
    <row r="28" spans="1:10" ht="15" x14ac:dyDescent="0.25">
      <c r="A28" s="17" t="s">
        <v>72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0" ht="15" x14ac:dyDescent="0.25">
      <c r="A29" s="17" t="s">
        <v>164</v>
      </c>
      <c r="B29" s="15"/>
      <c r="C29" s="15"/>
      <c r="D29" s="15"/>
      <c r="E29" s="15"/>
      <c r="F29" s="15"/>
      <c r="G29" s="15"/>
      <c r="H29" s="16"/>
      <c r="I29" s="51"/>
      <c r="J29" s="50">
        <f>80836.25/590*1/240*4</f>
        <v>2.2835098870056498</v>
      </c>
    </row>
    <row r="30" spans="1:10" ht="15" x14ac:dyDescent="0.25">
      <c r="A30" s="14" t="s">
        <v>115</v>
      </c>
      <c r="B30" s="21"/>
      <c r="C30" s="21"/>
      <c r="D30" s="21"/>
      <c r="E30" s="15"/>
      <c r="F30" s="15"/>
      <c r="G30" s="15"/>
      <c r="H30" s="15"/>
      <c r="I30" s="15"/>
      <c r="J30" s="40"/>
    </row>
    <row r="31" spans="1:10" ht="15" x14ac:dyDescent="0.25">
      <c r="A31" s="53" t="s">
        <v>165</v>
      </c>
      <c r="B31" s="15"/>
      <c r="C31" s="15"/>
      <c r="D31" s="15"/>
      <c r="E31" s="15"/>
      <c r="F31" s="15"/>
      <c r="G31" s="15"/>
      <c r="H31" s="16"/>
      <c r="I31" s="51"/>
      <c r="J31" s="52">
        <v>13.93</v>
      </c>
    </row>
    <row r="32" spans="1:10" ht="15" x14ac:dyDescent="0.25">
      <c r="A32" s="17" t="s">
        <v>116</v>
      </c>
      <c r="B32" s="15"/>
      <c r="C32" s="15"/>
      <c r="D32" s="15"/>
      <c r="E32" s="15"/>
      <c r="F32" s="15"/>
      <c r="G32" s="15"/>
      <c r="H32" s="16"/>
      <c r="I32" s="51"/>
      <c r="J32" s="52">
        <v>412.31</v>
      </c>
    </row>
    <row r="33" spans="1:14" ht="15" x14ac:dyDescent="0.25">
      <c r="A33" s="27" t="s">
        <v>77</v>
      </c>
      <c r="B33" s="20"/>
      <c r="C33" s="20"/>
      <c r="D33" s="20"/>
      <c r="E33" s="20"/>
      <c r="F33" s="20"/>
      <c r="G33" s="20"/>
      <c r="H33" s="20"/>
      <c r="I33" s="20"/>
      <c r="J33" s="24">
        <f>J22+J23+J24+J27+J29+J31+J32</f>
        <v>2291.7186020007971</v>
      </c>
    </row>
    <row r="34" spans="1:14" ht="15" x14ac:dyDescent="0.25">
      <c r="A34" s="27" t="s">
        <v>166</v>
      </c>
      <c r="B34" s="20"/>
      <c r="C34" s="20"/>
      <c r="D34" s="20"/>
      <c r="E34" s="20"/>
      <c r="F34" s="20"/>
      <c r="G34" s="20"/>
      <c r="H34" s="20"/>
      <c r="I34" s="20"/>
      <c r="J34" s="24">
        <v>258.27999999999997</v>
      </c>
    </row>
    <row r="35" spans="1:14" ht="15" x14ac:dyDescent="0.25">
      <c r="A35" s="27" t="s">
        <v>167</v>
      </c>
      <c r="B35" s="54"/>
      <c r="C35" s="54"/>
      <c r="D35" s="54"/>
      <c r="E35" s="54"/>
      <c r="F35" s="54"/>
      <c r="G35" s="20"/>
      <c r="H35" s="20"/>
      <c r="I35" s="20"/>
      <c r="J35" s="24">
        <f>SUM(J33:J34)</f>
        <v>2549.9986020007973</v>
      </c>
    </row>
    <row r="36" spans="1:14" ht="15" x14ac:dyDescent="0.25">
      <c r="A36" s="27" t="s">
        <v>168</v>
      </c>
      <c r="B36" s="54"/>
      <c r="C36" s="54"/>
      <c r="D36" s="54"/>
      <c r="E36" s="54"/>
      <c r="F36" s="54"/>
      <c r="G36" s="54"/>
      <c r="H36" s="54"/>
      <c r="I36" s="54"/>
      <c r="J36" s="24">
        <f>J35</f>
        <v>2549.9986020007973</v>
      </c>
      <c r="M36" s="28"/>
    </row>
    <row r="37" spans="1:14" ht="15" x14ac:dyDescent="0.25">
      <c r="A37" s="29"/>
    </row>
    <row r="38" spans="1:14" ht="15" x14ac:dyDescent="0.25">
      <c r="A38" s="29"/>
    </row>
    <row r="39" spans="1:14" ht="15" x14ac:dyDescent="0.25">
      <c r="A39" s="59" t="s">
        <v>36</v>
      </c>
      <c r="B39" s="60"/>
      <c r="C39" s="60"/>
      <c r="D39" s="60"/>
      <c r="E39" s="60" t="s">
        <v>37</v>
      </c>
      <c r="F39" s="60"/>
      <c r="G39" s="59" t="s">
        <v>81</v>
      </c>
      <c r="H39" s="60"/>
      <c r="I39" s="61" t="s">
        <v>38</v>
      </c>
      <c r="J39" s="60"/>
      <c r="K39" s="31"/>
      <c r="L39" s="31"/>
      <c r="M39" s="31"/>
      <c r="N39" s="31"/>
    </row>
    <row r="40" spans="1:14" ht="15" x14ac:dyDescent="0.25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31"/>
      <c r="L40" s="31"/>
      <c r="M40" s="31"/>
      <c r="N40" s="31"/>
    </row>
    <row r="41" spans="1:14" s="34" customFormat="1" x14ac:dyDescent="0.2">
      <c r="A41" s="62"/>
      <c r="B41" s="62"/>
      <c r="C41" s="62"/>
      <c r="D41" s="62"/>
      <c r="E41" s="62"/>
      <c r="F41" s="62"/>
      <c r="G41" s="62"/>
      <c r="H41" s="62"/>
      <c r="I41" s="62"/>
      <c r="J41" s="60"/>
      <c r="K41" s="33"/>
      <c r="L41" s="33"/>
      <c r="M41" s="33"/>
      <c r="N41" s="33"/>
    </row>
    <row r="42" spans="1:14" s="34" customFormat="1" ht="12.75" x14ac:dyDescent="0.2">
      <c r="A42" s="63"/>
      <c r="B42" s="64"/>
      <c r="C42" s="65"/>
      <c r="D42" s="62"/>
      <c r="E42" s="62"/>
      <c r="F42" s="62"/>
      <c r="G42" s="62"/>
      <c r="H42" s="66"/>
      <c r="I42" s="67"/>
      <c r="J42" s="66"/>
      <c r="K42" s="37"/>
      <c r="L42" s="33"/>
      <c r="M42" s="33"/>
      <c r="N42" s="33"/>
    </row>
    <row r="43" spans="1:14" s="34" customFormat="1" ht="12" x14ac:dyDescent="0.2">
      <c r="A43" s="64"/>
      <c r="B43" s="64"/>
      <c r="C43" s="65"/>
      <c r="D43" s="62"/>
      <c r="E43" s="62"/>
      <c r="F43" s="62"/>
      <c r="G43" s="62"/>
      <c r="H43" s="66"/>
      <c r="I43" s="66"/>
      <c r="J43" s="66"/>
      <c r="K43" s="37"/>
      <c r="L43" s="33"/>
      <c r="M43" s="33"/>
      <c r="N43" s="33"/>
    </row>
    <row r="44" spans="1:14" s="34" customFormat="1" ht="12" x14ac:dyDescent="0.2">
      <c r="C44" s="35"/>
      <c r="D44" s="33"/>
      <c r="E44" s="33"/>
      <c r="F44" s="33"/>
      <c r="G44" s="33"/>
      <c r="H44" s="33"/>
      <c r="I44" s="33"/>
      <c r="J44" s="37"/>
      <c r="K44" s="37"/>
      <c r="L44" s="33"/>
      <c r="M44" s="33"/>
      <c r="N44" s="33"/>
    </row>
    <row r="45" spans="1:14" s="34" customFormat="1" x14ac:dyDescent="0.2">
      <c r="A45" s="35"/>
      <c r="B45" s="33"/>
      <c r="C45" s="33"/>
      <c r="D45" s="33"/>
      <c r="E45" s="33"/>
      <c r="F45" s="33"/>
      <c r="G45" s="33"/>
      <c r="H45" s="33"/>
      <c r="I45" s="33"/>
      <c r="J45" s="31"/>
      <c r="K45" s="33"/>
      <c r="L45" s="33"/>
      <c r="M45" s="33"/>
      <c r="N45" s="33"/>
    </row>
    <row r="46" spans="1:14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</sheetData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49"/>
  <sheetViews>
    <sheetView topLeftCell="A19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3" width="10.42578125" style="3" customWidth="1"/>
    <col min="4" max="4" width="10.7109375" style="3" customWidth="1"/>
    <col min="5" max="5" width="9.140625" style="3"/>
    <col min="6" max="6" width="6.5703125" style="3" customWidth="1"/>
    <col min="7" max="7" width="10.7109375" style="3" hidden="1" customWidth="1"/>
    <col min="8" max="8" width="17" style="3" hidden="1" customWidth="1"/>
    <col min="9" max="9" width="34" style="3" customWidth="1"/>
    <col min="10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6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263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27.6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24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4" t="s">
        <v>68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216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217</v>
      </c>
      <c r="B29" s="22"/>
      <c r="C29" s="22"/>
      <c r="D29" s="22"/>
      <c r="E29" s="22"/>
      <c r="F29" s="22"/>
      <c r="G29" s="22"/>
      <c r="H29" s="22"/>
      <c r="I29" s="22"/>
      <c r="J29" s="110"/>
    </row>
    <row r="30" spans="1:10" x14ac:dyDescent="0.25">
      <c r="A30" s="17" t="s">
        <v>95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70</v>
      </c>
      <c r="B31" s="22"/>
      <c r="C31" s="22"/>
      <c r="D31" s="22"/>
      <c r="E31" s="22"/>
      <c r="F31" s="22"/>
      <c r="G31" s="22"/>
      <c r="H31" s="22"/>
      <c r="I31" s="22"/>
      <c r="J31" s="111"/>
    </row>
    <row r="32" spans="1:10" x14ac:dyDescent="0.25">
      <c r="A32" s="17" t="s">
        <v>218</v>
      </c>
      <c r="B32" s="22"/>
      <c r="C32" s="22"/>
      <c r="D32" s="22"/>
      <c r="E32" s="22"/>
      <c r="F32" s="22"/>
      <c r="G32" s="22"/>
      <c r="H32" s="105"/>
      <c r="I32" s="105"/>
      <c r="J32" s="107">
        <f>18333.73/590*1/240*4</f>
        <v>0.51790197740112986</v>
      </c>
    </row>
    <row r="33" spans="1:13" x14ac:dyDescent="0.25">
      <c r="A33" s="17" t="s">
        <v>72</v>
      </c>
      <c r="B33" s="22"/>
      <c r="C33" s="22"/>
      <c r="D33" s="22"/>
      <c r="E33" s="22"/>
      <c r="F33" s="22"/>
      <c r="G33" s="22"/>
      <c r="H33" s="22"/>
      <c r="I33" s="22"/>
      <c r="J33" s="111"/>
    </row>
    <row r="34" spans="1:13" x14ac:dyDescent="0.25">
      <c r="A34" s="17" t="s">
        <v>231</v>
      </c>
      <c r="B34" s="22"/>
      <c r="C34" s="22"/>
      <c r="D34" s="22"/>
      <c r="E34" s="22"/>
      <c r="F34" s="22"/>
      <c r="G34" s="22"/>
      <c r="H34" s="105"/>
      <c r="I34" s="105"/>
      <c r="J34" s="107">
        <f>80836.25/590*1/240*4</f>
        <v>2.2835098870056498</v>
      </c>
    </row>
    <row r="35" spans="1:13" x14ac:dyDescent="0.25">
      <c r="A35" s="14" t="s">
        <v>115</v>
      </c>
      <c r="B35" s="22"/>
      <c r="C35" s="22"/>
      <c r="D35" s="22"/>
      <c r="E35" s="22"/>
      <c r="F35" s="22"/>
      <c r="G35" s="22"/>
      <c r="H35" s="22"/>
      <c r="I35" s="22"/>
      <c r="J35" s="111"/>
    </row>
    <row r="36" spans="1:13" x14ac:dyDescent="0.25">
      <c r="A36" s="68" t="s">
        <v>264</v>
      </c>
      <c r="B36" s="112"/>
      <c r="C36" s="112"/>
      <c r="D36" s="112"/>
      <c r="E36" s="112"/>
      <c r="F36" s="112"/>
      <c r="G36" s="112"/>
      <c r="H36" s="113"/>
      <c r="I36" s="113"/>
      <c r="J36" s="107">
        <v>5</v>
      </c>
    </row>
    <row r="37" spans="1:13" x14ac:dyDescent="0.25">
      <c r="A37" s="17" t="s">
        <v>221</v>
      </c>
      <c r="B37" s="22"/>
      <c r="C37" s="22"/>
      <c r="D37" s="22"/>
      <c r="E37" s="22"/>
      <c r="F37" s="22"/>
      <c r="G37" s="22"/>
      <c r="H37" s="105"/>
      <c r="I37" s="105"/>
      <c r="J37" s="111">
        <v>558.13</v>
      </c>
    </row>
    <row r="38" spans="1:13" x14ac:dyDescent="0.25">
      <c r="A38" s="80" t="s">
        <v>222</v>
      </c>
      <c r="B38" s="114"/>
      <c r="C38" s="114"/>
      <c r="D38" s="114"/>
      <c r="E38" s="114"/>
      <c r="F38" s="114"/>
      <c r="G38" s="114"/>
      <c r="H38" s="114"/>
      <c r="I38" s="114"/>
      <c r="J38" s="108">
        <f>SUM(J24:J37)</f>
        <v>2428.5743342041869</v>
      </c>
    </row>
    <row r="39" spans="1:13" x14ac:dyDescent="0.25">
      <c r="A39" s="125" t="s">
        <v>252</v>
      </c>
      <c r="B39" s="131"/>
      <c r="C39" s="131"/>
      <c r="D39" s="131"/>
      <c r="E39" s="131"/>
      <c r="F39" s="131"/>
      <c r="G39" s="131"/>
      <c r="H39" s="132"/>
      <c r="I39" s="118" t="s">
        <v>253</v>
      </c>
      <c r="J39" s="108">
        <f>J38*5%</f>
        <v>121.42871671020936</v>
      </c>
    </row>
    <row r="40" spans="1:13" x14ac:dyDescent="0.25">
      <c r="A40" s="27" t="s">
        <v>265</v>
      </c>
      <c r="B40" s="27"/>
      <c r="C40" s="27"/>
      <c r="D40" s="27"/>
      <c r="E40" s="27"/>
      <c r="F40" s="27"/>
      <c r="G40" s="27"/>
      <c r="H40" s="53"/>
      <c r="I40" s="53"/>
      <c r="J40" s="108">
        <f>J38+J39</f>
        <v>2550.0030509143962</v>
      </c>
    </row>
    <row r="41" spans="1:13" x14ac:dyDescent="0.25">
      <c r="A41" s="27" t="s">
        <v>235</v>
      </c>
      <c r="B41" s="27"/>
      <c r="C41" s="27"/>
      <c r="D41" s="27"/>
      <c r="E41" s="27"/>
      <c r="F41" s="27"/>
      <c r="G41" s="27"/>
      <c r="H41" s="53"/>
      <c r="I41" s="53"/>
      <c r="J41" s="108">
        <f>J40</f>
        <v>2550.0030509143962</v>
      </c>
      <c r="M41" s="119"/>
    </row>
    <row r="42" spans="1:13" x14ac:dyDescent="0.25">
      <c r="A42" s="30"/>
      <c r="B42" s="30"/>
      <c r="C42" s="30"/>
      <c r="D42" s="30"/>
      <c r="E42" s="30" t="s">
        <v>37</v>
      </c>
      <c r="F42" s="30"/>
      <c r="G42" s="30" t="s">
        <v>81</v>
      </c>
      <c r="H42" s="30"/>
      <c r="I42" s="120"/>
      <c r="J42" s="30"/>
      <c r="K42" s="30"/>
      <c r="L42" s="30"/>
      <c r="M42" s="30"/>
    </row>
    <row r="43" spans="1:13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3" s="121" customFormat="1" x14ac:dyDescent="0.25">
      <c r="A44" s="30" t="s">
        <v>36</v>
      </c>
      <c r="B44" s="35"/>
      <c r="C44" s="35"/>
      <c r="D44" s="35"/>
      <c r="E44" s="35"/>
      <c r="F44" s="35"/>
      <c r="G44" s="35"/>
      <c r="H44" s="35"/>
      <c r="I44" s="30" t="s">
        <v>38</v>
      </c>
      <c r="J44" s="35"/>
      <c r="K44" s="35"/>
      <c r="L44" s="35"/>
      <c r="M44" s="35"/>
    </row>
    <row r="45" spans="1:13" s="121" customFormat="1" x14ac:dyDescent="0.25">
      <c r="A45" s="122"/>
      <c r="C45" s="35"/>
      <c r="D45" s="35"/>
      <c r="E45" s="35"/>
      <c r="F45" s="35"/>
      <c r="G45" s="35"/>
      <c r="H45" s="35"/>
      <c r="I45" s="30"/>
      <c r="J45" s="35"/>
      <c r="K45" s="35"/>
      <c r="L45" s="35"/>
      <c r="M45" s="35"/>
    </row>
    <row r="46" spans="1:13" s="121" customFormat="1" ht="12.75" x14ac:dyDescent="0.2">
      <c r="C46" s="35"/>
      <c r="D46" s="35"/>
      <c r="E46" s="35"/>
      <c r="F46" s="35"/>
      <c r="G46" s="35"/>
      <c r="H46" s="123" t="s">
        <v>226</v>
      </c>
      <c r="I46" s="123"/>
      <c r="J46" s="35"/>
      <c r="K46" s="35"/>
      <c r="L46" s="35"/>
      <c r="M46" s="35"/>
    </row>
    <row r="47" spans="1:13" s="121" customFormat="1" ht="12.75" x14ac:dyDescent="0.2">
      <c r="C47" s="35"/>
      <c r="D47" s="35"/>
      <c r="E47" s="35"/>
      <c r="F47" s="35"/>
      <c r="G47" s="35"/>
      <c r="H47" s="123"/>
      <c r="I47" s="123"/>
      <c r="J47" s="35"/>
      <c r="K47" s="35"/>
      <c r="L47" s="35"/>
      <c r="M47" s="35"/>
    </row>
    <row r="48" spans="1:13" s="121" customFormat="1" x14ac:dyDescent="0.25">
      <c r="A48" s="35"/>
      <c r="B48" s="35"/>
      <c r="C48" s="35"/>
      <c r="D48" s="35"/>
      <c r="E48" s="35"/>
      <c r="F48" s="35"/>
      <c r="G48" s="35"/>
      <c r="H48" s="35"/>
      <c r="I48" s="30"/>
      <c r="J48" s="35"/>
      <c r="K48" s="35"/>
      <c r="L48" s="35"/>
      <c r="M48" s="35"/>
    </row>
    <row r="49" spans="1:13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</sheetData>
  <mergeCells count="1">
    <mergeCell ref="A39:H39"/>
  </mergeCells>
  <pageMargins left="0.75" right="0.75" top="1" bottom="1" header="0.5" footer="0.5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1"/>
  <sheetViews>
    <sheetView topLeftCell="A16" zoomScaleNormal="100" zoomScaleSheetLayoutView="100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9.140625" style="5" customWidth="1"/>
    <col min="6" max="6" width="0.140625" style="5" customWidth="1"/>
    <col min="7" max="7" width="10.7109375" style="5" customWidth="1"/>
    <col min="8" max="8" width="0.140625" style="5" customWidth="1"/>
    <col min="9" max="9" width="34.28515625" style="5" customWidth="1"/>
    <col min="10" max="10" width="14" style="5" customWidth="1"/>
    <col min="11" max="16384" width="9.140625" style="5"/>
  </cols>
  <sheetData>
    <row r="1" spans="1:10" ht="15" customHeight="1" x14ac:dyDescent="0.25">
      <c r="A1" s="1"/>
      <c r="B1" s="2"/>
      <c r="C1" s="2"/>
      <c r="D1" s="2"/>
      <c r="E1" s="2"/>
      <c r="F1" s="3" t="s">
        <v>0</v>
      </c>
      <c r="G1" s="4"/>
      <c r="H1" s="3"/>
      <c r="I1" s="3"/>
      <c r="J1" s="3"/>
    </row>
    <row r="2" spans="1:10" ht="15" customHeight="1" x14ac:dyDescent="0.25">
      <c r="A2" s="2"/>
      <c r="B2" s="2"/>
      <c r="C2" s="2"/>
      <c r="D2" s="2"/>
      <c r="E2" s="2"/>
      <c r="F2" s="3" t="s">
        <v>1</v>
      </c>
      <c r="G2" s="3"/>
      <c r="H2" s="3"/>
      <c r="I2" s="3"/>
      <c r="J2" s="3"/>
    </row>
    <row r="3" spans="1:10" ht="15" customHeight="1" x14ac:dyDescent="0.25">
      <c r="A3" s="1"/>
      <c r="B3" s="2"/>
      <c r="C3" s="2"/>
      <c r="D3" s="2"/>
      <c r="E3" s="2"/>
      <c r="F3" s="3" t="s">
        <v>2</v>
      </c>
      <c r="G3" s="3"/>
      <c r="H3" s="3"/>
      <c r="I3" s="3"/>
      <c r="J3" s="3"/>
    </row>
    <row r="4" spans="1:10" ht="15" customHeight="1" x14ac:dyDescent="0.25">
      <c r="A4" s="1"/>
      <c r="B4" s="2"/>
      <c r="C4" s="2"/>
      <c r="D4" s="2"/>
      <c r="E4" s="2"/>
      <c r="F4" s="3" t="s">
        <v>3</v>
      </c>
      <c r="G4" s="3"/>
      <c r="H4" s="3"/>
      <c r="I4" s="3"/>
      <c r="J4" s="3"/>
    </row>
    <row r="5" spans="1:10" ht="15" customHeight="1" x14ac:dyDescent="0.25">
      <c r="A5" s="1"/>
      <c r="B5" s="2"/>
      <c r="C5" s="2"/>
      <c r="D5" s="2"/>
      <c r="E5" s="2"/>
      <c r="F5" s="3" t="s">
        <v>4</v>
      </c>
      <c r="G5" s="3" t="s">
        <v>5</v>
      </c>
      <c r="H5" s="3"/>
      <c r="I5" s="3"/>
      <c r="J5" s="3"/>
    </row>
    <row r="6" spans="1:10" ht="15" customHeight="1" x14ac:dyDescent="0.25">
      <c r="A6" s="1"/>
      <c r="B6" s="2"/>
      <c r="C6" s="2"/>
      <c r="D6" s="2"/>
      <c r="E6" s="2"/>
      <c r="F6" s="6"/>
      <c r="G6" s="6"/>
      <c r="H6" s="6"/>
      <c r="I6" s="6"/>
      <c r="J6" s="3"/>
    </row>
    <row r="7" spans="1:10" ht="15.75" x14ac:dyDescent="0.25">
      <c r="A7" s="7"/>
      <c r="B7" s="8"/>
      <c r="C7" s="8"/>
      <c r="D7" s="9" t="s">
        <v>6</v>
      </c>
      <c r="E7" s="10"/>
      <c r="F7" s="8"/>
      <c r="G7" s="8"/>
      <c r="H7" s="2"/>
      <c r="I7" s="2"/>
    </row>
    <row r="8" spans="1:10" ht="15.75" x14ac:dyDescent="0.25">
      <c r="A8" s="2"/>
      <c r="B8" s="11"/>
      <c r="C8" s="8"/>
      <c r="D8" s="8"/>
      <c r="E8" s="9" t="s">
        <v>7</v>
      </c>
      <c r="F8" s="8"/>
      <c r="G8" s="8"/>
      <c r="H8" s="2"/>
      <c r="I8" s="2"/>
    </row>
    <row r="9" spans="1:10" ht="15.75" x14ac:dyDescent="0.25">
      <c r="A9" s="2"/>
      <c r="B9" s="8"/>
      <c r="C9" s="8"/>
      <c r="D9" s="8"/>
      <c r="E9" s="9" t="s">
        <v>8</v>
      </c>
      <c r="F9" s="8"/>
      <c r="G9" s="8"/>
      <c r="H9" s="2"/>
      <c r="I9" s="2"/>
    </row>
    <row r="10" spans="1:10" ht="15.75" x14ac:dyDescent="0.25">
      <c r="A10" s="2"/>
      <c r="B10" s="8"/>
      <c r="C10" s="8"/>
      <c r="D10" s="9"/>
      <c r="E10" s="8"/>
      <c r="F10" s="8"/>
      <c r="G10" s="8"/>
      <c r="H10" s="2"/>
      <c r="I10" s="2"/>
    </row>
    <row r="11" spans="1:10" ht="15.75" x14ac:dyDescent="0.25">
      <c r="A11" s="2"/>
      <c r="B11" s="8"/>
      <c r="C11" s="8"/>
      <c r="D11" s="11" t="s">
        <v>9</v>
      </c>
      <c r="E11" s="8"/>
      <c r="F11" s="8"/>
      <c r="G11" s="8"/>
      <c r="H11" s="2"/>
      <c r="I11" s="2"/>
    </row>
    <row r="12" spans="1:10" ht="15.75" x14ac:dyDescent="0.25">
      <c r="A12" s="12" t="s">
        <v>10</v>
      </c>
      <c r="B12" s="2"/>
      <c r="C12" s="13"/>
      <c r="D12" s="2"/>
      <c r="E12" s="2"/>
      <c r="F12" s="2"/>
      <c r="G12" s="2"/>
      <c r="H12" s="2"/>
      <c r="I12" s="2"/>
    </row>
    <row r="13" spans="1:10" ht="15.75" x14ac:dyDescent="0.25">
      <c r="A13" s="2"/>
      <c r="B13" s="2"/>
      <c r="C13" s="11" t="s">
        <v>11</v>
      </c>
      <c r="D13" s="2"/>
      <c r="E13" s="2"/>
      <c r="F13" s="2"/>
      <c r="G13" s="2"/>
      <c r="H13" s="2"/>
      <c r="I13" s="2"/>
    </row>
    <row r="15" spans="1:10" x14ac:dyDescent="0.2">
      <c r="A15" s="14" t="s">
        <v>12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61.5" customHeight="1" x14ac:dyDescent="0.25">
      <c r="A16" s="17" t="s">
        <v>13</v>
      </c>
      <c r="B16" s="15"/>
      <c r="C16" s="15"/>
      <c r="D16" s="15"/>
      <c r="E16" s="15"/>
      <c r="F16" s="15"/>
      <c r="G16" s="15"/>
      <c r="H16" s="16"/>
      <c r="I16" s="18" t="s">
        <v>14</v>
      </c>
      <c r="J16" s="19">
        <f>16308/144*100</f>
        <v>11325</v>
      </c>
    </row>
    <row r="17" spans="1:12" ht="23.25" customHeight="1" x14ac:dyDescent="0.25">
      <c r="A17" s="17" t="s">
        <v>15</v>
      </c>
      <c r="B17" s="15"/>
      <c r="C17" s="15"/>
      <c r="D17" s="15"/>
      <c r="E17" s="15"/>
      <c r="F17" s="15"/>
      <c r="G17" s="15"/>
      <c r="H17" s="16"/>
      <c r="I17" s="18"/>
      <c r="J17" s="19">
        <v>1000</v>
      </c>
    </row>
    <row r="18" spans="1:12" ht="15" x14ac:dyDescent="0.25">
      <c r="A18" s="17" t="s">
        <v>16</v>
      </c>
      <c r="B18" s="15"/>
      <c r="C18" s="15"/>
      <c r="D18" s="15"/>
      <c r="E18" s="15"/>
      <c r="F18" s="15"/>
      <c r="G18" s="15"/>
      <c r="H18" s="16"/>
      <c r="I18" s="20" t="s">
        <v>17</v>
      </c>
      <c r="J18" s="19">
        <f>(J16+J17)/29.3*56/12</f>
        <v>1963.0261660978383</v>
      </c>
    </row>
    <row r="19" spans="1:12" ht="15" x14ac:dyDescent="0.25">
      <c r="A19" s="17" t="s">
        <v>18</v>
      </c>
      <c r="B19" s="15"/>
      <c r="C19" s="15"/>
      <c r="D19" s="15"/>
      <c r="E19" s="15"/>
      <c r="F19" s="15"/>
      <c r="G19" s="15"/>
      <c r="H19" s="16"/>
      <c r="I19" s="20" t="s">
        <v>19</v>
      </c>
      <c r="J19" s="19">
        <f>(J16+J17)*25%</f>
        <v>3081.25</v>
      </c>
    </row>
    <row r="20" spans="1:12" ht="15" x14ac:dyDescent="0.25">
      <c r="A20" s="17" t="s">
        <v>20</v>
      </c>
      <c r="B20" s="15"/>
      <c r="C20" s="15"/>
      <c r="D20" s="15"/>
      <c r="E20" s="15"/>
      <c r="F20" s="15"/>
      <c r="G20" s="15"/>
      <c r="H20" s="16"/>
      <c r="I20" s="20" t="s">
        <v>21</v>
      </c>
      <c r="J20" s="19">
        <f>J19/29.3*56/12</f>
        <v>490.75654152445958</v>
      </c>
    </row>
    <row r="21" spans="1:12" ht="15" x14ac:dyDescent="0.25">
      <c r="A21" s="17" t="s">
        <v>22</v>
      </c>
      <c r="B21" s="15"/>
      <c r="C21" s="15"/>
      <c r="D21" s="15"/>
      <c r="E21" s="15"/>
      <c r="F21" s="15"/>
      <c r="G21" s="15"/>
      <c r="H21" s="16"/>
      <c r="I21" s="20" t="s">
        <v>23</v>
      </c>
      <c r="J21" s="19">
        <f>J19</f>
        <v>3081.25</v>
      </c>
    </row>
    <row r="22" spans="1:12" ht="15" x14ac:dyDescent="0.25">
      <c r="A22" s="17" t="s">
        <v>24</v>
      </c>
      <c r="B22" s="15"/>
      <c r="C22" s="15"/>
      <c r="D22" s="15"/>
      <c r="E22" s="15"/>
      <c r="F22" s="15"/>
      <c r="G22" s="15"/>
      <c r="H22" s="16"/>
      <c r="I22" s="20" t="s">
        <v>25</v>
      </c>
      <c r="J22" s="19">
        <f>J21/29.3*28/12</f>
        <v>245.37827076222979</v>
      </c>
    </row>
    <row r="23" spans="1:12" ht="15" x14ac:dyDescent="0.25">
      <c r="A23" s="14" t="s">
        <v>26</v>
      </c>
      <c r="B23" s="21"/>
      <c r="C23" s="21"/>
      <c r="D23" s="21"/>
      <c r="E23" s="15"/>
      <c r="F23" s="15"/>
      <c r="G23" s="22"/>
      <c r="H23" s="16"/>
      <c r="I23" s="16"/>
      <c r="J23" s="23">
        <f>SUM(J16:J22)</f>
        <v>21186.660978384527</v>
      </c>
    </row>
    <row r="24" spans="1:12" ht="15" x14ac:dyDescent="0.25">
      <c r="A24" s="14" t="s">
        <v>27</v>
      </c>
      <c r="B24" s="21"/>
      <c r="C24" s="21"/>
      <c r="D24" s="21"/>
      <c r="E24" s="15"/>
      <c r="F24" s="15"/>
      <c r="G24" s="22"/>
      <c r="H24" s="16"/>
      <c r="I24" s="16"/>
      <c r="J24" s="24">
        <f>SUM(J16:J22)*15%</f>
        <v>3177.9991467576788</v>
      </c>
    </row>
    <row r="25" spans="1:12" ht="15" x14ac:dyDescent="0.25">
      <c r="A25" s="14" t="s">
        <v>28</v>
      </c>
      <c r="B25" s="15"/>
      <c r="C25" s="15"/>
      <c r="D25" s="15"/>
      <c r="E25" s="15"/>
      <c r="F25" s="15"/>
      <c r="G25" s="15"/>
      <c r="H25" s="16"/>
      <c r="I25" s="16"/>
      <c r="J25" s="23">
        <f>(J23+J24)*30.2%+0.01</f>
        <v>7358.1373577929462</v>
      </c>
    </row>
    <row r="26" spans="1:12" ht="15" x14ac:dyDescent="0.25">
      <c r="A26" s="17" t="s">
        <v>29</v>
      </c>
      <c r="B26" s="15"/>
      <c r="C26" s="15"/>
      <c r="D26" s="15"/>
      <c r="E26" s="15"/>
      <c r="F26" s="15"/>
      <c r="G26" s="15"/>
      <c r="H26" s="15"/>
      <c r="I26" s="15"/>
      <c r="J26" s="25"/>
    </row>
    <row r="27" spans="1:12" ht="15" x14ac:dyDescent="0.25">
      <c r="A27" s="17" t="s">
        <v>30</v>
      </c>
      <c r="B27" s="15"/>
      <c r="C27" s="15"/>
      <c r="D27" s="15"/>
      <c r="E27" s="15"/>
      <c r="F27" s="15"/>
      <c r="G27" s="15"/>
      <c r="H27" s="15"/>
      <c r="I27" s="15"/>
      <c r="J27" s="26">
        <v>5677.2</v>
      </c>
    </row>
    <row r="28" spans="1:12" ht="15" x14ac:dyDescent="0.25">
      <c r="A28" s="17" t="s">
        <v>31</v>
      </c>
      <c r="B28" s="15"/>
      <c r="C28" s="15"/>
      <c r="D28" s="15"/>
      <c r="E28" s="15"/>
      <c r="F28" s="15"/>
      <c r="G28" s="15"/>
      <c r="H28" s="16"/>
      <c r="I28" s="16"/>
      <c r="J28" s="26">
        <v>6000</v>
      </c>
    </row>
    <row r="29" spans="1:12" ht="15" x14ac:dyDescent="0.25">
      <c r="A29" s="17" t="s">
        <v>32</v>
      </c>
      <c r="B29" s="15"/>
      <c r="C29" s="15"/>
      <c r="D29" s="15"/>
      <c r="E29" s="15"/>
      <c r="F29" s="15"/>
      <c r="G29" s="15"/>
      <c r="H29" s="16"/>
      <c r="I29" s="16"/>
      <c r="J29" s="26">
        <v>7000</v>
      </c>
    </row>
    <row r="30" spans="1:12" ht="15" x14ac:dyDescent="0.25">
      <c r="A30" s="27" t="s">
        <v>33</v>
      </c>
      <c r="B30" s="20"/>
      <c r="C30" s="20"/>
      <c r="D30" s="20"/>
      <c r="E30" s="20"/>
      <c r="F30" s="20"/>
      <c r="G30" s="20"/>
      <c r="H30" s="20"/>
      <c r="I30" s="20"/>
      <c r="J30" s="24">
        <f>SUM(J23:J29)</f>
        <v>50399.997482935149</v>
      </c>
      <c r="L30" s="28"/>
    </row>
    <row r="31" spans="1:12" ht="15.75" x14ac:dyDescent="0.25">
      <c r="A31" s="27" t="s">
        <v>34</v>
      </c>
      <c r="B31" s="20"/>
      <c r="C31" s="20"/>
      <c r="D31" s="20"/>
      <c r="E31" s="20"/>
      <c r="F31" s="20"/>
      <c r="G31" s="9"/>
      <c r="H31" s="20"/>
      <c r="I31" s="20"/>
      <c r="J31" s="24">
        <f>J30/10</f>
        <v>5039.999748293515</v>
      </c>
    </row>
    <row r="32" spans="1:12" ht="15" x14ac:dyDescent="0.25">
      <c r="A32" s="27" t="s">
        <v>35</v>
      </c>
      <c r="B32" s="20"/>
      <c r="C32" s="20"/>
      <c r="D32" s="20"/>
      <c r="E32" s="20"/>
      <c r="F32" s="20"/>
      <c r="G32" s="20"/>
      <c r="H32" s="20"/>
      <c r="I32" s="20"/>
      <c r="J32" s="24">
        <f>J31</f>
        <v>5039.999748293515</v>
      </c>
      <c r="L32" s="28"/>
    </row>
    <row r="33" spans="1:14" ht="15" x14ac:dyDescent="0.25">
      <c r="A33" s="29"/>
    </row>
    <row r="34" spans="1:14" ht="15" x14ac:dyDescent="0.25">
      <c r="A34" s="29"/>
    </row>
    <row r="35" spans="1:14" ht="15" x14ac:dyDescent="0.25">
      <c r="A35" s="30" t="s">
        <v>36</v>
      </c>
      <c r="B35" s="31"/>
      <c r="C35" s="31"/>
      <c r="D35" s="31"/>
      <c r="E35" s="31" t="s">
        <v>37</v>
      </c>
      <c r="F35" s="31"/>
      <c r="G35" s="30"/>
      <c r="H35" s="31"/>
      <c r="I35" s="32" t="s">
        <v>38</v>
      </c>
      <c r="J35" s="31"/>
      <c r="K35" s="31"/>
      <c r="L35" s="31"/>
      <c r="M35" s="31"/>
      <c r="N35" s="31"/>
    </row>
    <row r="36" spans="1:14" ht="15" x14ac:dyDescent="0.2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s="34" customForma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1"/>
      <c r="K37" s="33"/>
      <c r="L37" s="33"/>
      <c r="M37" s="33"/>
      <c r="N37" s="33"/>
    </row>
    <row r="38" spans="1:14" s="34" customFormat="1" x14ac:dyDescent="0.2">
      <c r="A38" s="5"/>
      <c r="B38" s="5"/>
      <c r="C38" s="35"/>
      <c r="D38" s="33"/>
      <c r="E38" s="33"/>
      <c r="F38" s="33"/>
      <c r="G38" s="33"/>
      <c r="H38" s="33"/>
      <c r="I38" s="36"/>
      <c r="J38" s="31"/>
      <c r="K38" s="37"/>
      <c r="L38" s="33"/>
      <c r="M38" s="33"/>
      <c r="N38" s="33"/>
    </row>
    <row r="39" spans="1:14" s="34" customFormat="1" ht="12.75" x14ac:dyDescent="0.2">
      <c r="C39" s="35"/>
      <c r="D39" s="33"/>
      <c r="E39" s="33"/>
      <c r="F39" s="33"/>
      <c r="G39" s="33"/>
      <c r="H39" s="38"/>
      <c r="I39" s="38"/>
      <c r="J39" s="39"/>
      <c r="K39" s="37"/>
      <c r="L39" s="33"/>
      <c r="M39" s="33"/>
      <c r="N39" s="33"/>
    </row>
    <row r="40" spans="1:14" s="34" customFormat="1" x14ac:dyDescent="0.2">
      <c r="A40" s="35"/>
      <c r="B40" s="33"/>
      <c r="C40" s="33"/>
      <c r="D40" s="33"/>
      <c r="E40" s="33"/>
      <c r="F40" s="33"/>
      <c r="G40" s="33"/>
      <c r="H40" s="33"/>
      <c r="I40" s="33"/>
      <c r="J40" s="31"/>
      <c r="K40" s="33"/>
      <c r="L40" s="33"/>
      <c r="M40" s="33"/>
      <c r="N40" s="33"/>
    </row>
    <row r="41" spans="1:14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</sheetData>
  <pageMargins left="0.75" right="0.75" top="1" bottom="1" header="0.5" footer="0.5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37"/>
  <sheetViews>
    <sheetView zoomScaleNormal="100" zoomScaleSheetLayoutView="100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6.7109375" style="5" customWidth="1"/>
    <col min="6" max="6" width="11.28515625" style="5" customWidth="1"/>
    <col min="7" max="7" width="0.140625" style="5" customWidth="1"/>
    <col min="8" max="8" width="18.140625" style="5" hidden="1" customWidth="1"/>
    <col min="9" max="9" width="36.140625" style="5" customWidth="1"/>
    <col min="10" max="10" width="9.7109375" style="5" customWidth="1"/>
    <col min="11" max="16384" width="9.140625" style="5"/>
  </cols>
  <sheetData>
    <row r="1" spans="1:12" ht="17.25" customHeight="1" x14ac:dyDescent="0.25">
      <c r="A1" s="1"/>
      <c r="B1" s="2"/>
      <c r="C1" s="2"/>
      <c r="D1" s="2"/>
      <c r="E1" s="2"/>
      <c r="I1" s="3" t="s">
        <v>0</v>
      </c>
      <c r="J1" s="4"/>
      <c r="K1" s="3"/>
      <c r="L1" s="4"/>
    </row>
    <row r="2" spans="1:12" ht="15" customHeight="1" x14ac:dyDescent="0.25">
      <c r="A2" s="2"/>
      <c r="B2" s="2"/>
      <c r="C2" s="2"/>
      <c r="D2" s="2"/>
      <c r="E2" s="2"/>
      <c r="I2" s="3" t="s">
        <v>1</v>
      </c>
      <c r="J2" s="3"/>
      <c r="K2" s="3"/>
      <c r="L2" s="3"/>
    </row>
    <row r="3" spans="1:12" ht="15" customHeight="1" x14ac:dyDescent="0.25">
      <c r="A3" s="1"/>
      <c r="B3" s="2"/>
      <c r="C3" s="2"/>
      <c r="D3" s="2"/>
      <c r="E3" s="2"/>
      <c r="I3" s="3" t="s">
        <v>2</v>
      </c>
      <c r="J3" s="3"/>
      <c r="K3" s="3"/>
      <c r="L3" s="3"/>
    </row>
    <row r="4" spans="1:12" ht="15" customHeight="1" x14ac:dyDescent="0.25">
      <c r="A4" s="1"/>
      <c r="B4" s="2"/>
      <c r="C4" s="2"/>
      <c r="D4" s="2"/>
      <c r="E4" s="2"/>
      <c r="I4" s="3" t="s">
        <v>3</v>
      </c>
      <c r="J4" s="3"/>
      <c r="K4" s="3"/>
      <c r="L4" s="3"/>
    </row>
    <row r="5" spans="1:12" ht="15" customHeight="1" x14ac:dyDescent="0.25">
      <c r="A5" s="1"/>
      <c r="B5" s="2"/>
      <c r="C5" s="2"/>
      <c r="D5" s="2"/>
      <c r="E5" s="2"/>
      <c r="G5" s="5" t="s">
        <v>5</v>
      </c>
      <c r="I5" s="3" t="s">
        <v>5</v>
      </c>
      <c r="J5" s="3"/>
      <c r="K5" s="3"/>
    </row>
    <row r="6" spans="1:12" ht="15" customHeight="1" x14ac:dyDescent="0.25">
      <c r="A6" s="1"/>
      <c r="B6" s="2"/>
      <c r="C6" s="2"/>
      <c r="D6" s="2"/>
      <c r="E6" s="2"/>
      <c r="F6" s="3"/>
      <c r="G6" s="3"/>
      <c r="H6" s="3"/>
      <c r="I6" s="3"/>
      <c r="J6" s="6"/>
    </row>
    <row r="7" spans="1:12" ht="15.75" x14ac:dyDescent="0.25">
      <c r="A7" s="7"/>
      <c r="B7" s="8"/>
      <c r="C7" s="8"/>
      <c r="D7" s="9" t="s">
        <v>6</v>
      </c>
      <c r="E7" s="10"/>
      <c r="F7" s="3"/>
      <c r="G7" s="3"/>
      <c r="H7" s="3"/>
      <c r="I7" s="3"/>
      <c r="J7" s="2"/>
    </row>
    <row r="8" spans="1:12" ht="15.75" x14ac:dyDescent="0.25">
      <c r="A8" s="2"/>
      <c r="B8" s="11"/>
      <c r="C8" s="8"/>
      <c r="D8" s="8"/>
      <c r="E8" s="9" t="s">
        <v>7</v>
      </c>
      <c r="F8" s="8"/>
      <c r="G8" s="8"/>
      <c r="H8" s="2"/>
      <c r="I8" s="2"/>
      <c r="J8" s="2"/>
    </row>
    <row r="9" spans="1:12" ht="15.75" x14ac:dyDescent="0.25">
      <c r="A9" s="2"/>
      <c r="B9" s="8"/>
      <c r="C9" s="8"/>
      <c r="D9" s="8"/>
      <c r="E9" s="9" t="s">
        <v>8</v>
      </c>
      <c r="F9" s="8"/>
      <c r="G9" s="8"/>
      <c r="H9" s="2"/>
      <c r="I9" s="2"/>
      <c r="J9" s="2"/>
    </row>
    <row r="10" spans="1:12" ht="15.75" x14ac:dyDescent="0.25">
      <c r="A10" s="2"/>
      <c r="B10" s="8"/>
      <c r="C10" s="8"/>
      <c r="D10" s="9" t="s">
        <v>39</v>
      </c>
      <c r="E10" s="8"/>
      <c r="F10" s="8"/>
      <c r="G10" s="8"/>
      <c r="H10" s="2"/>
      <c r="I10" s="2"/>
      <c r="J10" s="2"/>
    </row>
    <row r="11" spans="1:12" ht="15.75" x14ac:dyDescent="0.25">
      <c r="A11" s="2"/>
      <c r="B11" s="2"/>
      <c r="C11" s="6" t="s">
        <v>40</v>
      </c>
      <c r="D11" s="3"/>
      <c r="E11" s="3"/>
      <c r="F11" s="3"/>
      <c r="G11" s="3"/>
      <c r="H11" s="3"/>
      <c r="I11" s="3"/>
      <c r="J11" s="2"/>
    </row>
    <row r="12" spans="1:12" ht="15.75" x14ac:dyDescent="0.25">
      <c r="A12" s="2"/>
      <c r="B12" s="2"/>
      <c r="C12" s="6" t="s">
        <v>41</v>
      </c>
      <c r="D12" s="11"/>
      <c r="E12" s="2"/>
      <c r="F12" s="2"/>
      <c r="G12" s="2"/>
      <c r="H12" s="2"/>
      <c r="I12" s="2"/>
      <c r="J12" s="2"/>
    </row>
    <row r="13" spans="1:12" ht="1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">
      <c r="A14" s="14" t="s">
        <v>12</v>
      </c>
      <c r="B14" s="15"/>
      <c r="C14" s="15"/>
      <c r="D14" s="15"/>
      <c r="E14" s="15"/>
      <c r="F14" s="15"/>
      <c r="G14" s="15"/>
      <c r="H14" s="15"/>
      <c r="I14" s="15"/>
      <c r="J14" s="16"/>
    </row>
    <row r="15" spans="1:12" ht="43.5" x14ac:dyDescent="0.25">
      <c r="A15" s="17" t="s">
        <v>13</v>
      </c>
      <c r="B15" s="15"/>
      <c r="C15" s="15"/>
      <c r="D15" s="15"/>
      <c r="E15" s="15"/>
      <c r="F15" s="15"/>
      <c r="G15" s="15"/>
      <c r="H15" s="16"/>
      <c r="I15" s="18" t="s">
        <v>42</v>
      </c>
      <c r="J15" s="26">
        <f>16308/144*48</f>
        <v>5436</v>
      </c>
    </row>
    <row r="16" spans="1:12" ht="15" x14ac:dyDescent="0.25">
      <c r="A16" s="17" t="s">
        <v>15</v>
      </c>
      <c r="B16" s="15"/>
      <c r="C16" s="15"/>
      <c r="D16" s="15"/>
      <c r="E16" s="15"/>
      <c r="F16" s="15"/>
      <c r="G16" s="15"/>
      <c r="H16" s="16"/>
      <c r="I16" s="18"/>
      <c r="J16" s="26">
        <v>1000</v>
      </c>
    </row>
    <row r="17" spans="1:14" ht="15" x14ac:dyDescent="0.25">
      <c r="A17" s="17" t="s">
        <v>16</v>
      </c>
      <c r="B17" s="15"/>
      <c r="C17" s="15"/>
      <c r="D17" s="15"/>
      <c r="E17" s="15"/>
      <c r="F17" s="15"/>
      <c r="G17" s="15"/>
      <c r="H17" s="16"/>
      <c r="I17" s="20" t="s">
        <v>43</v>
      </c>
      <c r="J17" s="26">
        <f>(J15+J16)/29.3*56/12</f>
        <v>1025.0739476678043</v>
      </c>
    </row>
    <row r="18" spans="1:14" ht="15" x14ac:dyDescent="0.25">
      <c r="A18" s="17" t="s">
        <v>18</v>
      </c>
      <c r="B18" s="15"/>
      <c r="C18" s="15"/>
      <c r="D18" s="15"/>
      <c r="E18" s="15"/>
      <c r="F18" s="15"/>
      <c r="G18" s="15"/>
      <c r="H18" s="16"/>
      <c r="I18" s="20" t="s">
        <v>44</v>
      </c>
      <c r="J18" s="26">
        <f>(J15+J16)*25%</f>
        <v>1609</v>
      </c>
    </row>
    <row r="19" spans="1:14" ht="15" x14ac:dyDescent="0.25">
      <c r="A19" s="17" t="s">
        <v>45</v>
      </c>
      <c r="B19" s="15"/>
      <c r="C19" s="15"/>
      <c r="D19" s="15"/>
      <c r="E19" s="15"/>
      <c r="F19" s="15"/>
      <c r="G19" s="15"/>
      <c r="H19" s="16"/>
      <c r="I19" s="20" t="s">
        <v>46</v>
      </c>
      <c r="J19" s="26">
        <f>J18/29.3*56/12</f>
        <v>256.26848691695108</v>
      </c>
    </row>
    <row r="20" spans="1:14" ht="15" x14ac:dyDescent="0.25">
      <c r="A20" s="17" t="s">
        <v>47</v>
      </c>
      <c r="B20" s="15"/>
      <c r="C20" s="15"/>
      <c r="D20" s="15"/>
      <c r="E20" s="15"/>
      <c r="F20" s="15"/>
      <c r="G20" s="15"/>
      <c r="H20" s="16"/>
      <c r="I20" s="20" t="s">
        <v>44</v>
      </c>
      <c r="J20" s="26">
        <f>(J15+J16)*25%</f>
        <v>1609</v>
      </c>
    </row>
    <row r="21" spans="1:14" ht="15" x14ac:dyDescent="0.25">
      <c r="A21" s="17" t="s">
        <v>48</v>
      </c>
      <c r="B21" s="15"/>
      <c r="C21" s="15"/>
      <c r="D21" s="15"/>
      <c r="E21" s="15"/>
      <c r="F21" s="15"/>
      <c r="G21" s="15"/>
      <c r="H21" s="16"/>
      <c r="I21" s="20" t="s">
        <v>49</v>
      </c>
      <c r="J21" s="26">
        <f>J20/29.3*28/12</f>
        <v>128.13424345847554</v>
      </c>
    </row>
    <row r="22" spans="1:14" ht="15" x14ac:dyDescent="0.25">
      <c r="A22" s="14" t="s">
        <v>26</v>
      </c>
      <c r="B22" s="21"/>
      <c r="C22" s="21"/>
      <c r="D22" s="21"/>
      <c r="E22" s="15"/>
      <c r="F22" s="15"/>
      <c r="G22" s="22"/>
      <c r="H22" s="16"/>
      <c r="I22" s="20"/>
      <c r="J22" s="24">
        <f>SUM(J15:J21)</f>
        <v>11063.476678043231</v>
      </c>
    </row>
    <row r="23" spans="1:14" ht="15" x14ac:dyDescent="0.25">
      <c r="A23" s="14" t="s">
        <v>27</v>
      </c>
      <c r="B23" s="21"/>
      <c r="C23" s="21"/>
      <c r="D23" s="21"/>
      <c r="E23" s="15"/>
      <c r="F23" s="15"/>
      <c r="G23" s="22"/>
      <c r="H23" s="16"/>
      <c r="I23" s="16"/>
      <c r="J23" s="24">
        <f>SUM(J15:J21)*15%</f>
        <v>1659.5215017064845</v>
      </c>
    </row>
    <row r="24" spans="1:14" ht="15" x14ac:dyDescent="0.25">
      <c r="A24" s="14" t="s">
        <v>28</v>
      </c>
      <c r="B24" s="15"/>
      <c r="C24" s="15"/>
      <c r="D24" s="15"/>
      <c r="E24" s="15"/>
      <c r="F24" s="15"/>
      <c r="G24" s="15"/>
      <c r="H24" s="16"/>
      <c r="I24" s="16"/>
      <c r="J24" s="24">
        <f>(J22+J23)*30.2%</f>
        <v>3842.3454502844138</v>
      </c>
    </row>
    <row r="25" spans="1:14" ht="15" x14ac:dyDescent="0.25">
      <c r="A25" s="17" t="s">
        <v>29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4" ht="15" x14ac:dyDescent="0.25">
      <c r="A26" s="17" t="s">
        <v>30</v>
      </c>
      <c r="B26" s="15"/>
      <c r="C26" s="15"/>
      <c r="D26" s="15"/>
      <c r="E26" s="15"/>
      <c r="F26" s="15"/>
      <c r="G26" s="15"/>
      <c r="H26" s="15"/>
      <c r="I26" s="15"/>
      <c r="J26" s="26">
        <v>4000</v>
      </c>
    </row>
    <row r="27" spans="1:14" ht="15" x14ac:dyDescent="0.25">
      <c r="A27" s="17" t="s">
        <v>31</v>
      </c>
      <c r="B27" s="15"/>
      <c r="C27" s="15"/>
      <c r="D27" s="15"/>
      <c r="E27" s="15"/>
      <c r="F27" s="15"/>
      <c r="G27" s="15"/>
      <c r="H27" s="16"/>
      <c r="I27" s="16"/>
      <c r="J27" s="26">
        <v>2784.66</v>
      </c>
    </row>
    <row r="28" spans="1:14" ht="15" x14ac:dyDescent="0.25">
      <c r="A28" s="17" t="s">
        <v>32</v>
      </c>
      <c r="B28" s="15"/>
      <c r="C28" s="15"/>
      <c r="D28" s="15"/>
      <c r="E28" s="15"/>
      <c r="F28" s="15"/>
      <c r="G28" s="15"/>
      <c r="H28" s="16"/>
      <c r="I28" s="16"/>
      <c r="J28" s="26">
        <v>4000</v>
      </c>
    </row>
    <row r="29" spans="1:14" ht="15" x14ac:dyDescent="0.25">
      <c r="A29" s="27" t="s">
        <v>33</v>
      </c>
      <c r="B29" s="20"/>
      <c r="C29" s="20"/>
      <c r="D29" s="20"/>
      <c r="E29" s="20"/>
      <c r="F29" s="20"/>
      <c r="G29" s="20"/>
      <c r="H29" s="20"/>
      <c r="I29" s="20"/>
      <c r="J29" s="24">
        <f>J26+J27+J28</f>
        <v>10784.66</v>
      </c>
      <c r="L29" s="28">
        <v>1900</v>
      </c>
      <c r="M29" s="5">
        <v>3550</v>
      </c>
    </row>
    <row r="30" spans="1:14" ht="15.75" x14ac:dyDescent="0.25">
      <c r="A30" s="27" t="s">
        <v>50</v>
      </c>
      <c r="B30" s="20"/>
      <c r="C30" s="20"/>
      <c r="D30" s="20"/>
      <c r="E30" s="20"/>
      <c r="F30" s="20"/>
      <c r="G30" s="9"/>
      <c r="H30" s="20"/>
      <c r="I30" s="20"/>
      <c r="J30" s="24">
        <f>SUM(J22:J28)</f>
        <v>27350.003630034127</v>
      </c>
      <c r="K30" s="31"/>
      <c r="L30" s="31">
        <v>1650</v>
      </c>
      <c r="M30" s="31">
        <v>3080</v>
      </c>
      <c r="N30" s="31"/>
    </row>
    <row r="31" spans="1:14" ht="15" x14ac:dyDescent="0.25">
      <c r="A31" s="27" t="s">
        <v>51</v>
      </c>
      <c r="B31" s="20"/>
      <c r="C31" s="20"/>
      <c r="D31" s="20"/>
      <c r="E31" s="20"/>
      <c r="F31" s="20"/>
      <c r="G31" s="20"/>
      <c r="H31" s="20"/>
      <c r="I31" s="20"/>
      <c r="J31" s="24">
        <f>J30/10</f>
        <v>2735.0003630034125</v>
      </c>
      <c r="K31" s="31"/>
      <c r="L31" s="41">
        <f>J31-L30</f>
        <v>1085.0003630034125</v>
      </c>
      <c r="M31" s="31">
        <f>3500-3080</f>
        <v>420</v>
      </c>
      <c r="N31" s="31"/>
    </row>
    <row r="32" spans="1:14" s="34" customFormat="1" ht="15" x14ac:dyDescent="0.25">
      <c r="A32" s="29"/>
      <c r="B32" s="5"/>
      <c r="C32" s="5"/>
      <c r="D32" s="5"/>
      <c r="E32" s="5"/>
      <c r="F32" s="5"/>
      <c r="G32" s="5"/>
      <c r="H32" s="5"/>
      <c r="I32" s="5"/>
      <c r="J32" s="5"/>
      <c r="K32" s="33"/>
      <c r="L32" s="33"/>
      <c r="M32" s="33"/>
      <c r="N32" s="33"/>
    </row>
    <row r="33" spans="1:14" s="34" customFormat="1" ht="15" x14ac:dyDescent="0.25">
      <c r="A33" s="29"/>
      <c r="B33" s="5"/>
      <c r="C33" s="5"/>
      <c r="D33" s="5"/>
      <c r="E33" s="5"/>
      <c r="F33" s="5"/>
      <c r="G33" s="5"/>
      <c r="H33" s="5"/>
      <c r="I33" s="5"/>
      <c r="J33" s="5"/>
      <c r="K33" s="37"/>
      <c r="L33" s="33"/>
      <c r="M33" s="33"/>
      <c r="N33" s="33"/>
    </row>
    <row r="34" spans="1:14" s="34" customFormat="1" ht="15" x14ac:dyDescent="0.25">
      <c r="A34" s="30" t="s">
        <v>36</v>
      </c>
      <c r="B34" s="31"/>
      <c r="C34" s="31"/>
      <c r="D34" s="31"/>
      <c r="E34" s="31" t="s">
        <v>37</v>
      </c>
      <c r="F34" s="31"/>
      <c r="G34" s="30"/>
      <c r="H34" s="31"/>
      <c r="I34" s="42" t="s">
        <v>38</v>
      </c>
      <c r="J34" s="31"/>
      <c r="K34" s="37"/>
      <c r="L34" s="33"/>
      <c r="M34" s="33"/>
      <c r="N34" s="33"/>
    </row>
    <row r="35" spans="1:14" s="34" customFormat="1" ht="12" x14ac:dyDescent="0.2">
      <c r="C35" s="33"/>
      <c r="D35" s="33"/>
      <c r="E35" s="33"/>
      <c r="F35" s="33"/>
      <c r="G35" s="33"/>
      <c r="H35" s="37"/>
      <c r="I35" s="37"/>
      <c r="J35" s="37"/>
      <c r="K35" s="33"/>
      <c r="L35" s="33"/>
      <c r="M35" s="33"/>
      <c r="N35" s="33"/>
    </row>
    <row r="36" spans="1:14" s="34" customFormat="1" x14ac:dyDescent="0.2">
      <c r="A36" s="35"/>
      <c r="B36" s="33"/>
      <c r="C36" s="31"/>
      <c r="D36" s="31"/>
      <c r="E36" s="31"/>
      <c r="F36" s="31"/>
      <c r="G36" s="31"/>
      <c r="H36" s="31"/>
      <c r="I36" s="31"/>
      <c r="J36" s="31"/>
      <c r="K36" s="33"/>
      <c r="L36" s="33"/>
      <c r="M36" s="33"/>
      <c r="N36" s="33"/>
    </row>
    <row r="37" spans="1:14" x14ac:dyDescent="0.2">
      <c r="A37" s="31"/>
      <c r="B37" s="31"/>
      <c r="K37" s="31"/>
      <c r="L37" s="31"/>
      <c r="M37" s="31"/>
      <c r="N37" s="31"/>
    </row>
  </sheetData>
  <pageMargins left="0.75" right="0.75" top="1" bottom="1" header="0.5" footer="0.5"/>
  <pageSetup paperSize="9"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FF"/>
  </sheetPr>
  <dimension ref="A1:N43"/>
  <sheetViews>
    <sheetView topLeftCell="A13" zoomScaleNormal="100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5" width="9.140625" style="5"/>
    <col min="6" max="6" width="1.5703125" style="5" customWidth="1"/>
    <col min="7" max="7" width="10.7109375" style="5" hidden="1" customWidth="1"/>
    <col min="8" max="8" width="17.28515625" style="5" hidden="1" customWidth="1"/>
    <col min="9" max="9" width="34.5703125" style="5" customWidth="1"/>
    <col min="10" max="10" width="9.7109375" style="5" customWidth="1"/>
    <col min="11" max="16384" width="9.140625" style="5"/>
  </cols>
  <sheetData>
    <row r="1" spans="1:10" ht="15" customHeight="1" x14ac:dyDescent="0.25">
      <c r="A1" s="4"/>
      <c r="F1" s="3" t="s">
        <v>0</v>
      </c>
      <c r="G1" s="4"/>
      <c r="H1" s="3"/>
      <c r="I1" s="3"/>
      <c r="J1" s="3"/>
    </row>
    <row r="2" spans="1:10" ht="15" customHeight="1" x14ac:dyDescent="0.25">
      <c r="F2" s="3" t="s">
        <v>52</v>
      </c>
      <c r="G2" s="3"/>
      <c r="H2" s="3"/>
      <c r="I2" s="3"/>
      <c r="J2" s="3"/>
    </row>
    <row r="3" spans="1:10" ht="15" customHeight="1" x14ac:dyDescent="0.25">
      <c r="A3" s="4"/>
      <c r="F3" s="3" t="s">
        <v>3</v>
      </c>
      <c r="G3" s="3"/>
      <c r="H3" s="3"/>
      <c r="I3" s="3"/>
      <c r="J3" s="3"/>
    </row>
    <row r="4" spans="1:10" ht="15" customHeight="1" x14ac:dyDescent="0.25">
      <c r="A4" s="4"/>
      <c r="F4" s="3" t="s">
        <v>5</v>
      </c>
      <c r="G4" s="3"/>
      <c r="H4" s="3"/>
      <c r="I4" s="3"/>
      <c r="J4" s="3"/>
    </row>
    <row r="5" spans="1:10" ht="15" x14ac:dyDescent="0.25">
      <c r="A5" s="43"/>
      <c r="D5" s="44" t="s">
        <v>6</v>
      </c>
      <c r="E5" s="45"/>
      <c r="G5" s="5" t="s">
        <v>5</v>
      </c>
    </row>
    <row r="6" spans="1:10" ht="15" x14ac:dyDescent="0.25">
      <c r="B6" s="43"/>
      <c r="E6" s="44" t="s">
        <v>53</v>
      </c>
    </row>
    <row r="7" spans="1:10" x14ac:dyDescent="0.2">
      <c r="E7" s="44" t="s">
        <v>54</v>
      </c>
    </row>
    <row r="8" spans="1:10" x14ac:dyDescent="0.2">
      <c r="D8" s="44" t="s">
        <v>55</v>
      </c>
    </row>
    <row r="9" spans="1:10" ht="15" x14ac:dyDescent="0.25">
      <c r="A9" s="46" t="s">
        <v>56</v>
      </c>
      <c r="C9" s="47"/>
    </row>
    <row r="10" spans="1:10" ht="15" x14ac:dyDescent="0.25">
      <c r="D10" s="48" t="s">
        <v>57</v>
      </c>
    </row>
    <row r="12" spans="1:10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20"/>
      <c r="J12" s="16" t="s">
        <v>58</v>
      </c>
    </row>
    <row r="13" spans="1:10" ht="49.5" customHeight="1" x14ac:dyDescent="0.25">
      <c r="A13" s="17" t="s">
        <v>59</v>
      </c>
      <c r="B13" s="15"/>
      <c r="C13" s="15"/>
      <c r="D13" s="15"/>
      <c r="E13" s="15"/>
      <c r="F13" s="15"/>
      <c r="G13" s="15"/>
      <c r="H13" s="15"/>
      <c r="I13" s="18" t="s">
        <v>60</v>
      </c>
      <c r="J13" s="40">
        <f>19220/72*24*1.1</f>
        <v>7047.3333333333339</v>
      </c>
    </row>
    <row r="14" spans="1:10" ht="23.25" customHeight="1" x14ac:dyDescent="0.25">
      <c r="A14" s="17" t="s">
        <v>15</v>
      </c>
      <c r="B14" s="15"/>
      <c r="C14" s="15"/>
      <c r="D14" s="15"/>
      <c r="E14" s="15"/>
      <c r="F14" s="15"/>
      <c r="G14" s="15"/>
      <c r="H14" s="16"/>
      <c r="I14" s="18"/>
      <c r="J14" s="19">
        <v>1000</v>
      </c>
    </row>
    <row r="15" spans="1:10" ht="15" x14ac:dyDescent="0.25">
      <c r="A15" s="17" t="s">
        <v>16</v>
      </c>
      <c r="B15" s="15"/>
      <c r="C15" s="15"/>
      <c r="D15" s="15"/>
      <c r="E15" s="15"/>
      <c r="F15" s="15"/>
      <c r="G15" s="15"/>
      <c r="H15" s="15"/>
      <c r="I15" s="20" t="s">
        <v>61</v>
      </c>
      <c r="J15" s="40">
        <f>(J13+J14)/29.3*56/12</f>
        <v>1281.7140690178232</v>
      </c>
    </row>
    <row r="16" spans="1:10" ht="15" x14ac:dyDescent="0.25">
      <c r="A16" s="17" t="s">
        <v>62</v>
      </c>
      <c r="B16" s="15"/>
      <c r="C16" s="15"/>
      <c r="D16" s="15"/>
      <c r="E16" s="15"/>
      <c r="F16" s="15"/>
      <c r="G16" s="15"/>
      <c r="H16" s="15"/>
      <c r="I16" s="20" t="s">
        <v>63</v>
      </c>
      <c r="J16" s="40">
        <f>(J13+J14)*0.3</f>
        <v>2414.2000000000003</v>
      </c>
    </row>
    <row r="17" spans="1:10" ht="15" x14ac:dyDescent="0.25">
      <c r="A17" s="17" t="s">
        <v>20</v>
      </c>
      <c r="B17" s="15"/>
      <c r="C17" s="15"/>
      <c r="D17" s="15"/>
      <c r="E17" s="15"/>
      <c r="F17" s="15"/>
      <c r="G17" s="15"/>
      <c r="H17" s="15"/>
      <c r="I17" s="20" t="s">
        <v>64</v>
      </c>
      <c r="J17" s="40">
        <f>J16/29.3*56/12</f>
        <v>384.51422070534704</v>
      </c>
    </row>
    <row r="18" spans="1:10" ht="15" x14ac:dyDescent="0.25">
      <c r="A18" s="17" t="s">
        <v>65</v>
      </c>
      <c r="B18" s="15"/>
      <c r="C18" s="15"/>
      <c r="D18" s="15"/>
      <c r="E18" s="15"/>
      <c r="F18" s="15"/>
      <c r="G18" s="15"/>
      <c r="H18" s="15"/>
      <c r="I18" s="20" t="s">
        <v>63</v>
      </c>
      <c r="J18" s="40">
        <f>(J13+J14)*30%</f>
        <v>2414.2000000000003</v>
      </c>
    </row>
    <row r="19" spans="1:10" ht="15" x14ac:dyDescent="0.25">
      <c r="A19" s="17" t="s">
        <v>24</v>
      </c>
      <c r="B19" s="15"/>
      <c r="C19" s="15"/>
      <c r="D19" s="15"/>
      <c r="E19" s="15"/>
      <c r="F19" s="15"/>
      <c r="G19" s="15"/>
      <c r="H19" s="15"/>
      <c r="I19" s="20" t="s">
        <v>66</v>
      </c>
      <c r="J19" s="40">
        <f>J18/29.3*28/12</f>
        <v>192.25711035267352</v>
      </c>
    </row>
    <row r="20" spans="1:10" ht="15" x14ac:dyDescent="0.25">
      <c r="A20" s="14" t="s">
        <v>26</v>
      </c>
      <c r="B20" s="21"/>
      <c r="C20" s="21"/>
      <c r="D20" s="21"/>
      <c r="E20" s="15"/>
      <c r="F20" s="15"/>
      <c r="G20" s="22"/>
      <c r="H20" s="16"/>
      <c r="I20" s="16"/>
      <c r="J20" s="24">
        <f>SUM(J13:J19)</f>
        <v>14734.21873340918</v>
      </c>
    </row>
    <row r="21" spans="1:10" ht="15" x14ac:dyDescent="0.25">
      <c r="A21" s="14" t="s">
        <v>67</v>
      </c>
      <c r="B21" s="21"/>
      <c r="C21" s="21"/>
      <c r="D21" s="21"/>
      <c r="E21" s="15"/>
      <c r="F21" s="15"/>
      <c r="G21" s="22"/>
      <c r="H21" s="16"/>
      <c r="I21" s="16"/>
      <c r="J21" s="24">
        <f>SUM(J13:J19)*15%</f>
        <v>2210.1328100113769</v>
      </c>
    </row>
    <row r="22" spans="1:10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6"/>
      <c r="J22" s="24">
        <f>(J20+J21)*30.2%</f>
        <v>5117.1941661130077</v>
      </c>
    </row>
    <row r="23" spans="1:10" x14ac:dyDescent="0.2">
      <c r="A23" s="14" t="s">
        <v>68</v>
      </c>
      <c r="B23" s="15"/>
      <c r="C23" s="15"/>
      <c r="D23" s="15"/>
      <c r="E23" s="15"/>
      <c r="F23" s="15"/>
      <c r="G23" s="15"/>
      <c r="H23" s="15"/>
      <c r="I23" s="15"/>
      <c r="J23" s="40"/>
    </row>
    <row r="24" spans="1:10" ht="15" x14ac:dyDescent="0.25">
      <c r="A24" s="17" t="s">
        <v>69</v>
      </c>
      <c r="B24" s="15"/>
      <c r="C24" s="15"/>
      <c r="D24" s="15"/>
      <c r="E24" s="15"/>
      <c r="F24" s="15"/>
      <c r="G24" s="15"/>
      <c r="H24" s="15"/>
      <c r="I24" s="15"/>
      <c r="J24" s="40"/>
    </row>
    <row r="25" spans="1:10" ht="15" x14ac:dyDescent="0.25">
      <c r="A25" s="17" t="s">
        <v>29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0" ht="15" x14ac:dyDescent="0.25">
      <c r="A26" s="17" t="s">
        <v>70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17" t="s">
        <v>71</v>
      </c>
      <c r="B27" s="15"/>
      <c r="C27" s="15"/>
      <c r="D27" s="15"/>
      <c r="E27" s="15"/>
      <c r="F27" s="15"/>
      <c r="G27" s="15"/>
      <c r="H27" s="16"/>
      <c r="I27" s="49"/>
      <c r="J27" s="50">
        <f>19546.81/590*10/240*24</f>
        <v>33.130186440677967</v>
      </c>
    </row>
    <row r="28" spans="1:10" ht="15" x14ac:dyDescent="0.25">
      <c r="A28" s="17" t="s">
        <v>72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0" ht="15" x14ac:dyDescent="0.25">
      <c r="A29" s="17" t="s">
        <v>73</v>
      </c>
      <c r="B29" s="15"/>
      <c r="C29" s="15"/>
      <c r="D29" s="15"/>
      <c r="E29" s="15"/>
      <c r="F29" s="15"/>
      <c r="G29" s="15"/>
      <c r="H29" s="16"/>
      <c r="I29" s="51"/>
      <c r="J29" s="52">
        <v>137.01</v>
      </c>
    </row>
    <row r="30" spans="1:10" x14ac:dyDescent="0.2">
      <c r="A30" s="14" t="s">
        <v>74</v>
      </c>
      <c r="B30" s="15"/>
      <c r="C30" s="15"/>
      <c r="D30" s="15"/>
      <c r="E30" s="15"/>
      <c r="F30" s="15"/>
      <c r="G30" s="15"/>
      <c r="H30" s="15"/>
      <c r="I30" s="15"/>
      <c r="J30" s="40"/>
    </row>
    <row r="31" spans="1:10" ht="15" x14ac:dyDescent="0.25">
      <c r="A31" s="53" t="s">
        <v>75</v>
      </c>
      <c r="B31" s="20"/>
      <c r="C31" s="20"/>
      <c r="D31" s="20"/>
      <c r="E31" s="20"/>
      <c r="F31" s="20"/>
      <c r="G31" s="20"/>
      <c r="H31" s="20"/>
      <c r="I31" s="20"/>
      <c r="J31" s="26">
        <v>27</v>
      </c>
    </row>
    <row r="32" spans="1:10" ht="15" x14ac:dyDescent="0.25">
      <c r="A32" s="53" t="s">
        <v>76</v>
      </c>
      <c r="B32" s="20"/>
      <c r="C32" s="20"/>
      <c r="D32" s="20"/>
      <c r="E32" s="20"/>
      <c r="F32" s="20"/>
      <c r="G32" s="20"/>
      <c r="H32" s="20"/>
      <c r="I32" s="20"/>
      <c r="J32" s="26">
        <v>9741.31</v>
      </c>
    </row>
    <row r="33" spans="1:14" ht="15" x14ac:dyDescent="0.25">
      <c r="A33" s="27" t="s">
        <v>77</v>
      </c>
      <c r="B33" s="20"/>
      <c r="C33" s="20"/>
      <c r="D33" s="20"/>
      <c r="E33" s="20"/>
      <c r="F33" s="20"/>
      <c r="G33" s="20"/>
      <c r="H33" s="20"/>
      <c r="I33" s="20"/>
      <c r="J33" s="24">
        <f>J20+J21+J22+J27+J29+J31+J32</f>
        <v>31999.995895974236</v>
      </c>
    </row>
    <row r="34" spans="1:14" ht="15" x14ac:dyDescent="0.25">
      <c r="A34" s="27" t="s">
        <v>78</v>
      </c>
      <c r="B34" s="20"/>
      <c r="C34" s="20"/>
      <c r="D34" s="20"/>
      <c r="E34" s="20"/>
      <c r="F34" s="20"/>
      <c r="G34" s="20"/>
      <c r="H34" s="20"/>
      <c r="I34" s="20"/>
      <c r="J34" s="24">
        <f>J33*20%</f>
        <v>6399.9991791948478</v>
      </c>
    </row>
    <row r="35" spans="1:14" ht="15" x14ac:dyDescent="0.25">
      <c r="A35" s="27" t="s">
        <v>79</v>
      </c>
      <c r="B35" s="54"/>
      <c r="C35" s="54"/>
      <c r="D35" s="54"/>
      <c r="E35" s="54"/>
      <c r="F35" s="54"/>
      <c r="G35" s="54"/>
      <c r="H35" s="54"/>
      <c r="I35" s="54"/>
      <c r="J35" s="24">
        <f>J33+J34</f>
        <v>38399.995075169085</v>
      </c>
    </row>
    <row r="36" spans="1:14" ht="15" x14ac:dyDescent="0.25">
      <c r="A36" s="27" t="s">
        <v>80</v>
      </c>
      <c r="B36" s="54"/>
      <c r="C36" s="54"/>
      <c r="D36" s="54"/>
      <c r="E36" s="54"/>
      <c r="F36" s="54"/>
      <c r="G36" s="54"/>
      <c r="H36" s="54"/>
      <c r="I36" s="54"/>
      <c r="J36" s="24">
        <f>J35/10</f>
        <v>3839.9995075169086</v>
      </c>
      <c r="N36" s="28"/>
    </row>
    <row r="37" spans="1:14" s="34" customFormat="1" ht="15" x14ac:dyDescent="0.25">
      <c r="A37" s="4"/>
      <c r="B37" s="55"/>
      <c r="C37" s="55"/>
      <c r="D37" s="55"/>
      <c r="E37" s="55"/>
      <c r="F37" s="55"/>
      <c r="G37" s="55"/>
      <c r="H37" s="55"/>
      <c r="I37" s="55"/>
      <c r="J37" s="5"/>
      <c r="K37" s="37"/>
      <c r="L37" s="33"/>
      <c r="M37" s="33"/>
      <c r="N37" s="33"/>
    </row>
    <row r="38" spans="1:14" s="34" customFormat="1" ht="15" x14ac:dyDescent="0.25">
      <c r="A38" s="29"/>
      <c r="B38" s="5"/>
      <c r="C38" s="5"/>
      <c r="D38" s="5"/>
      <c r="E38" s="5"/>
      <c r="F38" s="5"/>
      <c r="G38" s="5"/>
      <c r="H38" s="5"/>
      <c r="I38" s="5"/>
      <c r="J38" s="5"/>
      <c r="K38" s="37"/>
      <c r="L38" s="33"/>
      <c r="M38" s="33"/>
      <c r="N38" s="33"/>
    </row>
    <row r="39" spans="1:14" s="34" customFormat="1" ht="15" x14ac:dyDescent="0.25">
      <c r="A39" s="30" t="s">
        <v>36</v>
      </c>
      <c r="B39" s="31"/>
      <c r="C39" s="31"/>
      <c r="D39" s="31"/>
      <c r="E39" s="31" t="s">
        <v>37</v>
      </c>
      <c r="F39" s="31"/>
      <c r="G39" s="30" t="s">
        <v>81</v>
      </c>
      <c r="H39" s="31"/>
      <c r="I39" s="31" t="s">
        <v>82</v>
      </c>
      <c r="J39" s="31"/>
      <c r="K39" s="33"/>
      <c r="L39" s="33"/>
      <c r="M39" s="33"/>
      <c r="N39" s="33"/>
    </row>
    <row r="40" spans="1:14" ht="15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1"/>
    </row>
    <row r="42" spans="1:14" x14ac:dyDescent="0.2">
      <c r="A42" s="56"/>
      <c r="B42" s="34"/>
      <c r="C42" s="35"/>
      <c r="D42" s="33"/>
      <c r="E42" s="33"/>
      <c r="F42" s="33"/>
      <c r="G42" s="33"/>
      <c r="H42" s="37"/>
      <c r="I42" s="31"/>
      <c r="J42" s="37"/>
    </row>
    <row r="43" spans="1:14" x14ac:dyDescent="0.2">
      <c r="A43" s="34"/>
      <c r="B43" s="34"/>
      <c r="C43" s="35"/>
      <c r="D43" s="33"/>
      <c r="E43" s="33"/>
      <c r="F43" s="33"/>
      <c r="G43" s="33"/>
      <c r="H43" s="37"/>
      <c r="I43" s="37"/>
      <c r="J43" s="37"/>
    </row>
  </sheetData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6"/>
  <sheetViews>
    <sheetView topLeftCell="A13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5" width="9.140625" style="5"/>
    <col min="6" max="6" width="1.5703125" style="5" customWidth="1"/>
    <col min="7" max="7" width="10.7109375" style="5" hidden="1" customWidth="1"/>
    <col min="8" max="8" width="17.28515625" style="5" hidden="1" customWidth="1"/>
    <col min="9" max="9" width="34.5703125" style="5" customWidth="1"/>
    <col min="10" max="10" width="9.7109375" style="5" customWidth="1"/>
    <col min="11" max="16384" width="9.140625" style="5"/>
  </cols>
  <sheetData>
    <row r="1" spans="1:10" ht="15" customHeight="1" x14ac:dyDescent="0.25">
      <c r="A1" s="4"/>
      <c r="F1" s="3" t="s">
        <v>0</v>
      </c>
      <c r="G1" s="4"/>
      <c r="H1" s="3"/>
      <c r="I1" s="3"/>
      <c r="J1" s="3"/>
    </row>
    <row r="2" spans="1:10" ht="15" customHeight="1" x14ac:dyDescent="0.25">
      <c r="F2" s="3" t="s">
        <v>52</v>
      </c>
      <c r="G2" s="3"/>
      <c r="H2" s="3"/>
      <c r="I2" s="3"/>
      <c r="J2" s="3"/>
    </row>
    <row r="3" spans="1:10" ht="15" customHeight="1" x14ac:dyDescent="0.25">
      <c r="A3" s="4"/>
      <c r="F3" s="3" t="s">
        <v>3</v>
      </c>
      <c r="G3" s="3"/>
      <c r="H3" s="3"/>
      <c r="I3" s="3"/>
      <c r="J3" s="3"/>
    </row>
    <row r="4" spans="1:10" ht="15" customHeight="1" x14ac:dyDescent="0.25">
      <c r="A4" s="4"/>
      <c r="F4" s="3" t="s">
        <v>5</v>
      </c>
      <c r="G4" s="3"/>
      <c r="H4" s="3"/>
      <c r="I4" s="3"/>
      <c r="J4" s="3"/>
    </row>
    <row r="5" spans="1:10" ht="15" x14ac:dyDescent="0.25">
      <c r="A5" s="43"/>
      <c r="D5" s="44" t="s">
        <v>6</v>
      </c>
      <c r="E5" s="45"/>
      <c r="G5" s="5" t="s">
        <v>5</v>
      </c>
    </row>
    <row r="6" spans="1:10" ht="15" x14ac:dyDescent="0.25">
      <c r="B6" s="43"/>
      <c r="E6" s="44" t="s">
        <v>53</v>
      </c>
    </row>
    <row r="7" spans="1:10" x14ac:dyDescent="0.2">
      <c r="E7" s="44" t="s">
        <v>83</v>
      </c>
    </row>
    <row r="8" spans="1:10" x14ac:dyDescent="0.2">
      <c r="D8" s="44" t="s">
        <v>55</v>
      </c>
    </row>
    <row r="9" spans="1:10" ht="15" x14ac:dyDescent="0.25">
      <c r="A9" s="46" t="s">
        <v>84</v>
      </c>
      <c r="C9" s="47"/>
    </row>
    <row r="10" spans="1:10" ht="15" x14ac:dyDescent="0.25">
      <c r="D10" s="48" t="s">
        <v>57</v>
      </c>
    </row>
    <row r="12" spans="1:10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20"/>
      <c r="J12" s="16" t="s">
        <v>58</v>
      </c>
    </row>
    <row r="13" spans="1:10" ht="57" customHeight="1" x14ac:dyDescent="0.25">
      <c r="A13" s="17" t="s">
        <v>59</v>
      </c>
      <c r="B13" s="15"/>
      <c r="C13" s="15"/>
      <c r="D13" s="15"/>
      <c r="E13" s="15"/>
      <c r="F13" s="15"/>
      <c r="G13" s="15"/>
      <c r="H13" s="15"/>
      <c r="I13" s="18" t="s">
        <v>85</v>
      </c>
      <c r="J13" s="40">
        <f>19220/72*20*1.1</f>
        <v>5872.7777777777783</v>
      </c>
    </row>
    <row r="14" spans="1:10" ht="23.25" customHeight="1" x14ac:dyDescent="0.25">
      <c r="A14" s="17" t="s">
        <v>15</v>
      </c>
      <c r="B14" s="15"/>
      <c r="C14" s="15"/>
      <c r="D14" s="15"/>
      <c r="E14" s="15"/>
      <c r="F14" s="15"/>
      <c r="G14" s="15"/>
      <c r="H14" s="16"/>
      <c r="I14" s="18"/>
      <c r="J14" s="19">
        <v>1000</v>
      </c>
    </row>
    <row r="15" spans="1:10" ht="15" x14ac:dyDescent="0.25">
      <c r="A15" s="17" t="s">
        <v>16</v>
      </c>
      <c r="B15" s="15"/>
      <c r="C15" s="15"/>
      <c r="D15" s="15"/>
      <c r="E15" s="15"/>
      <c r="F15" s="15"/>
      <c r="G15" s="15"/>
      <c r="H15" s="15"/>
      <c r="I15" s="20" t="s">
        <v>86</v>
      </c>
      <c r="J15" s="40">
        <f>(J13+J14)/29.3*56/12</f>
        <v>1094.6403741625586</v>
      </c>
    </row>
    <row r="16" spans="1:10" ht="15" x14ac:dyDescent="0.25">
      <c r="A16" s="17" t="s">
        <v>87</v>
      </c>
      <c r="B16" s="15"/>
      <c r="C16" s="15"/>
      <c r="D16" s="15"/>
      <c r="E16" s="15"/>
      <c r="F16" s="15"/>
      <c r="G16" s="15"/>
      <c r="H16" s="15"/>
      <c r="I16" s="20" t="s">
        <v>88</v>
      </c>
      <c r="J16" s="40">
        <f>14389/72*8</f>
        <v>1598.7777777777778</v>
      </c>
    </row>
    <row r="17" spans="1:10" ht="15" x14ac:dyDescent="0.25">
      <c r="A17" s="17" t="s">
        <v>89</v>
      </c>
      <c r="B17" s="15"/>
      <c r="C17" s="15"/>
      <c r="D17" s="15"/>
      <c r="E17" s="15"/>
      <c r="F17" s="15"/>
      <c r="G17" s="15"/>
      <c r="H17" s="15"/>
      <c r="I17" s="20" t="s">
        <v>90</v>
      </c>
      <c r="J17" s="40">
        <f>J16/29.3*56/12</f>
        <v>254.64037416255846</v>
      </c>
    </row>
    <row r="18" spans="1:10" ht="15" x14ac:dyDescent="0.25">
      <c r="A18" s="17" t="s">
        <v>62</v>
      </c>
      <c r="B18" s="15"/>
      <c r="C18" s="15"/>
      <c r="D18" s="15"/>
      <c r="E18" s="15"/>
      <c r="F18" s="15"/>
      <c r="G18" s="15"/>
      <c r="H18" s="15"/>
      <c r="I18" s="20" t="s">
        <v>91</v>
      </c>
      <c r="J18" s="40">
        <f>(J13+J14)*30%</f>
        <v>2061.8333333333335</v>
      </c>
    </row>
    <row r="19" spans="1:10" ht="15" x14ac:dyDescent="0.25">
      <c r="A19" s="17" t="s">
        <v>20</v>
      </c>
      <c r="B19" s="15"/>
      <c r="C19" s="15"/>
      <c r="D19" s="15"/>
      <c r="E19" s="15"/>
      <c r="F19" s="15"/>
      <c r="G19" s="15"/>
      <c r="H19" s="15"/>
      <c r="I19" s="20" t="s">
        <v>92</v>
      </c>
      <c r="J19" s="40">
        <f>J18/29.3*56/12</f>
        <v>328.39211224876755</v>
      </c>
    </row>
    <row r="20" spans="1:10" ht="15" x14ac:dyDescent="0.25">
      <c r="A20" s="17" t="s">
        <v>93</v>
      </c>
      <c r="B20" s="15"/>
      <c r="C20" s="15"/>
      <c r="D20" s="15"/>
      <c r="E20" s="15"/>
      <c r="F20" s="15"/>
      <c r="G20" s="15"/>
      <c r="H20" s="15"/>
      <c r="I20" s="20" t="s">
        <v>91</v>
      </c>
      <c r="J20" s="40">
        <f>(J13+J14)*0.3</f>
        <v>2061.8333333333335</v>
      </c>
    </row>
    <row r="21" spans="1:10" ht="15" x14ac:dyDescent="0.25">
      <c r="A21" s="17" t="s">
        <v>24</v>
      </c>
      <c r="B21" s="15"/>
      <c r="C21" s="15"/>
      <c r="D21" s="15"/>
      <c r="E21" s="15"/>
      <c r="F21" s="15"/>
      <c r="G21" s="15"/>
      <c r="H21" s="15"/>
      <c r="I21" s="20" t="s">
        <v>94</v>
      </c>
      <c r="J21" s="40">
        <f>J20/29.3*28/12</f>
        <v>164.19605612438377</v>
      </c>
    </row>
    <row r="22" spans="1:10" ht="15" x14ac:dyDescent="0.25">
      <c r="A22" s="14" t="s">
        <v>26</v>
      </c>
      <c r="B22" s="21"/>
      <c r="C22" s="21"/>
      <c r="D22" s="21"/>
      <c r="E22" s="15"/>
      <c r="F22" s="15"/>
      <c r="G22" s="22"/>
      <c r="H22" s="16"/>
      <c r="I22" s="20"/>
      <c r="J22" s="24">
        <f>SUM(J13:J21)</f>
        <v>14437.091138920492</v>
      </c>
    </row>
    <row r="23" spans="1:10" ht="15" x14ac:dyDescent="0.25">
      <c r="A23" s="14" t="s">
        <v>27</v>
      </c>
      <c r="B23" s="21"/>
      <c r="C23" s="21"/>
      <c r="D23" s="21"/>
      <c r="E23" s="15"/>
      <c r="F23" s="15"/>
      <c r="G23" s="22"/>
      <c r="H23" s="16"/>
      <c r="I23" s="16"/>
      <c r="J23" s="24">
        <f>SUM(J13:J21)*15%</f>
        <v>2165.5636708380739</v>
      </c>
    </row>
    <row r="24" spans="1:10" ht="15" x14ac:dyDescent="0.25">
      <c r="A24" s="14" t="s">
        <v>28</v>
      </c>
      <c r="B24" s="15"/>
      <c r="C24" s="15"/>
      <c r="D24" s="15"/>
      <c r="E24" s="15"/>
      <c r="F24" s="15"/>
      <c r="G24" s="15"/>
      <c r="H24" s="16"/>
      <c r="I24" s="16"/>
      <c r="J24" s="24">
        <f>(J22+J23)*30.2%</f>
        <v>5014.0017525470867</v>
      </c>
    </row>
    <row r="25" spans="1:10" x14ac:dyDescent="0.2">
      <c r="A25" s="14" t="s">
        <v>68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0" ht="15" x14ac:dyDescent="0.25">
      <c r="A26" s="17" t="s">
        <v>69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17" t="s">
        <v>29</v>
      </c>
      <c r="B27" s="15"/>
      <c r="C27" s="15"/>
      <c r="D27" s="15"/>
      <c r="E27" s="15"/>
      <c r="F27" s="15"/>
      <c r="G27" s="15"/>
      <c r="H27" s="15"/>
      <c r="I27" s="15"/>
      <c r="J27" s="40"/>
    </row>
    <row r="28" spans="1:10" ht="15" x14ac:dyDescent="0.25">
      <c r="A28" s="17" t="s">
        <v>95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0" ht="15" x14ac:dyDescent="0.25">
      <c r="A29" s="17" t="s">
        <v>70</v>
      </c>
      <c r="B29" s="15"/>
      <c r="C29" s="15"/>
      <c r="D29" s="15"/>
      <c r="E29" s="15"/>
      <c r="F29" s="15"/>
      <c r="G29" s="15"/>
      <c r="H29" s="15"/>
      <c r="I29" s="15"/>
      <c r="J29" s="40"/>
    </row>
    <row r="30" spans="1:10" ht="15" x14ac:dyDescent="0.25">
      <c r="A30" s="17" t="s">
        <v>96</v>
      </c>
      <c r="B30" s="15"/>
      <c r="C30" s="15"/>
      <c r="D30" s="15"/>
      <c r="E30" s="15"/>
      <c r="F30" s="15"/>
      <c r="G30" s="15"/>
      <c r="H30" s="16"/>
      <c r="I30" s="49"/>
      <c r="J30" s="50">
        <f>19546.81/590*10/240*20</f>
        <v>27.608488700564973</v>
      </c>
    </row>
    <row r="31" spans="1:10" ht="15" x14ac:dyDescent="0.25">
      <c r="A31" s="17" t="s">
        <v>72</v>
      </c>
      <c r="B31" s="15"/>
      <c r="C31" s="15"/>
      <c r="D31" s="15"/>
      <c r="E31" s="15"/>
      <c r="F31" s="15"/>
      <c r="G31" s="15"/>
      <c r="H31" s="15"/>
      <c r="I31" s="15"/>
      <c r="J31" s="40"/>
    </row>
    <row r="32" spans="1:10" ht="15" x14ac:dyDescent="0.25">
      <c r="A32" s="17" t="s">
        <v>97</v>
      </c>
      <c r="B32" s="15"/>
      <c r="C32" s="15"/>
      <c r="D32" s="15"/>
      <c r="E32" s="15"/>
      <c r="F32" s="15"/>
      <c r="G32" s="15"/>
      <c r="H32" s="16"/>
      <c r="I32" s="49"/>
      <c r="J32" s="50">
        <f>80836.25/590*10/240*20</f>
        <v>114.17549435028248</v>
      </c>
    </row>
    <row r="33" spans="1:14" x14ac:dyDescent="0.2">
      <c r="A33" s="14" t="s">
        <v>74</v>
      </c>
      <c r="B33" s="15"/>
      <c r="C33" s="15"/>
      <c r="D33" s="15"/>
      <c r="E33" s="15"/>
      <c r="F33" s="15"/>
      <c r="G33" s="15"/>
      <c r="H33" s="15"/>
      <c r="I33" s="15"/>
      <c r="J33" s="40"/>
    </row>
    <row r="34" spans="1:14" ht="15" x14ac:dyDescent="0.25">
      <c r="A34" s="53" t="s">
        <v>98</v>
      </c>
      <c r="B34" s="20"/>
      <c r="C34" s="20"/>
      <c r="D34" s="20"/>
      <c r="E34" s="20"/>
      <c r="F34" s="20"/>
      <c r="G34" s="20"/>
      <c r="H34" s="20"/>
      <c r="I34" s="20"/>
      <c r="J34" s="26">
        <v>69.63</v>
      </c>
    </row>
    <row r="35" spans="1:14" ht="15" x14ac:dyDescent="0.25">
      <c r="A35" s="53" t="s">
        <v>99</v>
      </c>
      <c r="B35" s="20"/>
      <c r="C35" s="20"/>
      <c r="D35" s="20"/>
      <c r="E35" s="20"/>
      <c r="F35" s="20"/>
      <c r="G35" s="20"/>
      <c r="H35" s="20"/>
      <c r="I35" s="20"/>
      <c r="J35" s="26">
        <v>8671.93</v>
      </c>
    </row>
    <row r="36" spans="1:14" ht="15" x14ac:dyDescent="0.25">
      <c r="A36" s="27" t="s">
        <v>77</v>
      </c>
      <c r="B36" s="20"/>
      <c r="C36" s="20"/>
      <c r="D36" s="20"/>
      <c r="E36" s="20"/>
      <c r="F36" s="20"/>
      <c r="G36" s="20"/>
      <c r="H36" s="20"/>
      <c r="I36" s="20"/>
      <c r="J36" s="24">
        <f>J22+J23+J24+J30+J34+J35+J32</f>
        <v>30500.000545356499</v>
      </c>
    </row>
    <row r="37" spans="1:14" ht="15" x14ac:dyDescent="0.25">
      <c r="A37" s="27" t="s">
        <v>78</v>
      </c>
      <c r="B37" s="20"/>
      <c r="C37" s="20"/>
      <c r="D37" s="20"/>
      <c r="E37" s="20"/>
      <c r="F37" s="20"/>
      <c r="G37" s="20"/>
      <c r="H37" s="20"/>
      <c r="I37" s="20"/>
      <c r="J37" s="24">
        <f>J36*0.2</f>
        <v>6100.0001090713004</v>
      </c>
    </row>
    <row r="38" spans="1:14" ht="15" x14ac:dyDescent="0.25">
      <c r="A38" s="27" t="s">
        <v>79</v>
      </c>
      <c r="B38" s="54"/>
      <c r="C38" s="54"/>
      <c r="D38" s="54"/>
      <c r="E38" s="54"/>
      <c r="F38" s="54"/>
      <c r="G38" s="54"/>
      <c r="H38" s="54"/>
      <c r="I38" s="54"/>
      <c r="J38" s="24">
        <f>J36+J37</f>
        <v>36600.0006544278</v>
      </c>
    </row>
    <row r="39" spans="1:14" ht="15" x14ac:dyDescent="0.25">
      <c r="A39" s="27" t="s">
        <v>100</v>
      </c>
      <c r="B39" s="54"/>
      <c r="C39" s="54"/>
      <c r="D39" s="54"/>
      <c r="E39" s="54"/>
      <c r="F39" s="54"/>
      <c r="G39" s="54"/>
      <c r="H39" s="54"/>
      <c r="I39" s="54"/>
      <c r="J39" s="24">
        <f>J38/10</f>
        <v>3660.0000654427799</v>
      </c>
      <c r="M39" s="28"/>
    </row>
    <row r="40" spans="1:14" s="34" customFormat="1" ht="15" x14ac:dyDescent="0.25">
      <c r="A40" s="4"/>
      <c r="B40" s="55"/>
      <c r="C40" s="55"/>
      <c r="D40" s="55"/>
      <c r="E40" s="55"/>
      <c r="F40" s="55"/>
      <c r="G40" s="55"/>
      <c r="H40" s="55"/>
      <c r="I40" s="55"/>
      <c r="J40" s="5"/>
      <c r="K40" s="37"/>
      <c r="L40" s="33"/>
      <c r="M40" s="33"/>
      <c r="N40" s="33"/>
    </row>
    <row r="41" spans="1:14" s="34" customFormat="1" ht="15" x14ac:dyDescent="0.25">
      <c r="A41" s="29"/>
      <c r="B41" s="5"/>
      <c r="C41" s="5"/>
      <c r="D41" s="5"/>
      <c r="E41" s="5"/>
      <c r="F41" s="5"/>
      <c r="G41" s="5"/>
      <c r="H41" s="5"/>
      <c r="I41" s="5"/>
      <c r="J41" s="5"/>
      <c r="K41" s="37"/>
      <c r="L41" s="33"/>
      <c r="M41" s="33"/>
      <c r="N41" s="33"/>
    </row>
    <row r="42" spans="1:14" s="34" customFormat="1" ht="15" x14ac:dyDescent="0.25">
      <c r="A42" s="30" t="s">
        <v>36</v>
      </c>
      <c r="B42" s="31"/>
      <c r="C42" s="31"/>
      <c r="D42" s="31"/>
      <c r="E42" s="31" t="s">
        <v>37</v>
      </c>
      <c r="F42" s="31"/>
      <c r="G42" s="30" t="s">
        <v>81</v>
      </c>
      <c r="H42" s="31"/>
      <c r="I42" s="31" t="s">
        <v>82</v>
      </c>
      <c r="J42" s="31"/>
      <c r="K42" s="33"/>
      <c r="L42" s="33"/>
      <c r="M42" s="33"/>
      <c r="N42" s="33"/>
    </row>
    <row r="43" spans="1:14" ht="15" x14ac:dyDescent="0.2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1"/>
    </row>
    <row r="45" spans="1:14" x14ac:dyDescent="0.2">
      <c r="A45" s="56"/>
      <c r="B45" s="34"/>
      <c r="C45" s="35"/>
      <c r="D45" s="33"/>
      <c r="E45" s="33"/>
      <c r="F45" s="33"/>
      <c r="G45" s="33"/>
      <c r="H45" s="37"/>
      <c r="I45" s="31"/>
      <c r="J45" s="37"/>
    </row>
    <row r="46" spans="1:14" x14ac:dyDescent="0.2">
      <c r="A46" s="34"/>
      <c r="B46" s="34"/>
      <c r="C46" s="35"/>
      <c r="D46" s="33"/>
      <c r="E46" s="33"/>
      <c r="F46" s="33"/>
      <c r="G46" s="33"/>
      <c r="H46" s="37"/>
      <c r="I46" s="37"/>
      <c r="J46" s="37"/>
    </row>
  </sheetData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3"/>
  <sheetViews>
    <sheetView zoomScaleNormal="100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7.7109375" style="5" customWidth="1"/>
    <col min="6" max="6" width="0.28515625" style="5" hidden="1" customWidth="1"/>
    <col min="7" max="7" width="1.7109375" style="5" hidden="1" customWidth="1"/>
    <col min="8" max="8" width="16.42578125" style="5" hidden="1" customWidth="1"/>
    <col min="9" max="9" width="37.28515625" style="5" customWidth="1"/>
    <col min="10" max="10" width="12.5703125" style="5" customWidth="1"/>
    <col min="11" max="16384" width="9.140625" style="5"/>
  </cols>
  <sheetData>
    <row r="1" spans="1:13" ht="15" customHeight="1" x14ac:dyDescent="0.25">
      <c r="A1" s="4"/>
      <c r="F1" s="3" t="s">
        <v>0</v>
      </c>
      <c r="G1" s="4"/>
      <c r="H1" s="3"/>
      <c r="I1" s="3" t="s">
        <v>0</v>
      </c>
      <c r="J1" s="4"/>
      <c r="K1" s="3"/>
      <c r="M1" s="3"/>
    </row>
    <row r="2" spans="1:13" ht="15" customHeight="1" x14ac:dyDescent="0.25">
      <c r="F2" s="3" t="s">
        <v>52</v>
      </c>
      <c r="G2" s="3"/>
      <c r="H2" s="3"/>
      <c r="I2" s="3" t="s">
        <v>52</v>
      </c>
      <c r="J2" s="3"/>
      <c r="K2" s="3"/>
      <c r="L2" s="3"/>
      <c r="M2" s="3"/>
    </row>
    <row r="3" spans="1:13" ht="15" customHeight="1" x14ac:dyDescent="0.25">
      <c r="A3" s="4"/>
      <c r="F3" s="3" t="s">
        <v>3</v>
      </c>
      <c r="G3" s="3"/>
      <c r="H3" s="3"/>
      <c r="I3" s="3" t="s">
        <v>3</v>
      </c>
      <c r="J3" s="3"/>
      <c r="K3" s="3"/>
      <c r="L3" s="3"/>
      <c r="M3" s="3"/>
    </row>
    <row r="4" spans="1:13" ht="15" customHeight="1" x14ac:dyDescent="0.25">
      <c r="A4" s="4"/>
      <c r="F4" s="3" t="s">
        <v>101</v>
      </c>
      <c r="G4" s="3"/>
      <c r="H4" s="3"/>
      <c r="I4" s="3" t="s">
        <v>5</v>
      </c>
      <c r="J4" s="3"/>
      <c r="K4" s="3"/>
      <c r="L4" s="3"/>
      <c r="M4" s="3"/>
    </row>
    <row r="5" spans="1:13" ht="15" x14ac:dyDescent="0.25">
      <c r="A5" s="43"/>
      <c r="B5" s="57"/>
      <c r="C5" s="57"/>
      <c r="D5" s="44" t="s">
        <v>102</v>
      </c>
      <c r="E5" s="58"/>
      <c r="F5" s="57"/>
      <c r="G5" s="57" t="s">
        <v>5</v>
      </c>
    </row>
    <row r="6" spans="1:13" ht="15" x14ac:dyDescent="0.25">
      <c r="B6" s="48"/>
      <c r="C6" s="57"/>
      <c r="D6" s="57"/>
      <c r="E6" s="44" t="s">
        <v>103</v>
      </c>
      <c r="F6" s="57"/>
      <c r="G6" s="57"/>
    </row>
    <row r="7" spans="1:13" x14ac:dyDescent="0.2">
      <c r="B7" s="57"/>
      <c r="C7" s="57"/>
      <c r="D7" s="57"/>
      <c r="E7" s="44" t="s">
        <v>104</v>
      </c>
      <c r="F7" s="57"/>
      <c r="G7" s="57"/>
    </row>
    <row r="8" spans="1:13" x14ac:dyDescent="0.2">
      <c r="B8" s="57"/>
      <c r="C8" s="57"/>
      <c r="D8" s="44" t="s">
        <v>105</v>
      </c>
      <c r="E8" s="57"/>
      <c r="F8" s="57"/>
      <c r="G8" s="57"/>
    </row>
    <row r="9" spans="1:13" ht="15" x14ac:dyDescent="0.25">
      <c r="A9" s="46" t="s">
        <v>106</v>
      </c>
      <c r="C9" s="47"/>
    </row>
    <row r="10" spans="1:13" ht="15" x14ac:dyDescent="0.25">
      <c r="D10" s="48" t="s">
        <v>57</v>
      </c>
    </row>
    <row r="12" spans="1:13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20"/>
      <c r="J12" s="16" t="s">
        <v>58</v>
      </c>
    </row>
    <row r="13" spans="1:13" ht="43.5" customHeight="1" x14ac:dyDescent="0.25">
      <c r="A13" s="17" t="s">
        <v>107</v>
      </c>
      <c r="B13" s="15"/>
      <c r="C13" s="15"/>
      <c r="D13" s="15"/>
      <c r="E13" s="15"/>
      <c r="F13" s="15"/>
      <c r="G13" s="15"/>
      <c r="H13" s="15"/>
      <c r="I13" s="18" t="s">
        <v>108</v>
      </c>
      <c r="J13" s="40">
        <f>14389/72*8*1.1</f>
        <v>1758.6555555555558</v>
      </c>
    </row>
    <row r="14" spans="1:13" ht="15.75" customHeight="1" x14ac:dyDescent="0.25">
      <c r="A14" s="17" t="s">
        <v>15</v>
      </c>
      <c r="B14" s="15"/>
      <c r="C14" s="15"/>
      <c r="D14" s="15"/>
      <c r="E14" s="15"/>
      <c r="F14" s="15"/>
      <c r="G14" s="15"/>
      <c r="H14" s="15"/>
      <c r="I14" s="18"/>
      <c r="J14" s="40">
        <v>1000</v>
      </c>
    </row>
    <row r="15" spans="1:13" ht="15" x14ac:dyDescent="0.25">
      <c r="A15" s="17" t="s">
        <v>16</v>
      </c>
      <c r="B15" s="15"/>
      <c r="C15" s="15"/>
      <c r="D15" s="15"/>
      <c r="E15" s="15"/>
      <c r="F15" s="15"/>
      <c r="G15" s="15"/>
      <c r="H15" s="15"/>
      <c r="I15" s="20" t="s">
        <v>109</v>
      </c>
      <c r="J15" s="40">
        <f>(J13+J14)/29.3*56/12</f>
        <v>439.37631146504873</v>
      </c>
    </row>
    <row r="16" spans="1:13" ht="15" x14ac:dyDescent="0.25">
      <c r="A16" s="17" t="s">
        <v>62</v>
      </c>
      <c r="B16" s="15"/>
      <c r="C16" s="15"/>
      <c r="D16" s="15"/>
      <c r="E16" s="15"/>
      <c r="F16" s="15"/>
      <c r="G16" s="15"/>
      <c r="H16" s="15"/>
      <c r="I16" s="20" t="s">
        <v>110</v>
      </c>
      <c r="J16" s="40">
        <f>(J13+J14)*0.3</f>
        <v>827.59666666666681</v>
      </c>
    </row>
    <row r="17" spans="1:10" ht="15" x14ac:dyDescent="0.25">
      <c r="A17" s="17" t="s">
        <v>20</v>
      </c>
      <c r="B17" s="15"/>
      <c r="C17" s="15"/>
      <c r="D17" s="15"/>
      <c r="E17" s="15"/>
      <c r="F17" s="15"/>
      <c r="G17" s="15"/>
      <c r="H17" s="15"/>
      <c r="I17" s="20" t="s">
        <v>111</v>
      </c>
      <c r="J17" s="40">
        <f>J16/29.3*56/12</f>
        <v>131.81289343951462</v>
      </c>
    </row>
    <row r="18" spans="1:10" ht="15" x14ac:dyDescent="0.25">
      <c r="A18" s="17" t="s">
        <v>112</v>
      </c>
      <c r="B18" s="15"/>
      <c r="C18" s="15"/>
      <c r="D18" s="15"/>
      <c r="E18" s="15"/>
      <c r="F18" s="15"/>
      <c r="G18" s="15"/>
      <c r="H18" s="15"/>
      <c r="I18" s="20" t="s">
        <v>110</v>
      </c>
      <c r="J18" s="40">
        <f>J16</f>
        <v>827.59666666666681</v>
      </c>
    </row>
    <row r="19" spans="1:10" ht="15" x14ac:dyDescent="0.25">
      <c r="A19" s="17" t="s">
        <v>24</v>
      </c>
      <c r="B19" s="15"/>
      <c r="C19" s="15"/>
      <c r="D19" s="15"/>
      <c r="E19" s="15"/>
      <c r="F19" s="15"/>
      <c r="G19" s="15"/>
      <c r="H19" s="15"/>
      <c r="I19" s="20" t="s">
        <v>111</v>
      </c>
      <c r="J19" s="40">
        <f>J18/29.3*28/12</f>
        <v>65.906446719757312</v>
      </c>
    </row>
    <row r="20" spans="1:10" ht="15" x14ac:dyDescent="0.25">
      <c r="A20" s="14" t="s">
        <v>26</v>
      </c>
      <c r="B20" s="21"/>
      <c r="C20" s="21"/>
      <c r="D20" s="21"/>
      <c r="E20" s="15"/>
      <c r="F20" s="15"/>
      <c r="G20" s="22"/>
      <c r="H20" s="16"/>
      <c r="I20" s="16"/>
      <c r="J20" s="24">
        <f>SUM(J13:J19)</f>
        <v>5050.944540513211</v>
      </c>
    </row>
    <row r="21" spans="1:10" ht="15" x14ac:dyDescent="0.25">
      <c r="A21" s="14" t="s">
        <v>27</v>
      </c>
      <c r="B21" s="21"/>
      <c r="C21" s="21"/>
      <c r="D21" s="21"/>
      <c r="E21" s="15"/>
      <c r="F21" s="15"/>
      <c r="G21" s="22"/>
      <c r="H21" s="16"/>
      <c r="I21" s="16"/>
      <c r="J21" s="24">
        <f>J20*0.15</f>
        <v>757.64168107698163</v>
      </c>
    </row>
    <row r="22" spans="1:10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6"/>
      <c r="J22" s="24">
        <f>(J20+J21)*0.302</f>
        <v>1754.193038920238</v>
      </c>
    </row>
    <row r="23" spans="1:10" ht="15" x14ac:dyDescent="0.25">
      <c r="A23" s="17" t="s">
        <v>95</v>
      </c>
      <c r="B23" s="15"/>
      <c r="C23" s="15"/>
      <c r="D23" s="15"/>
      <c r="E23" s="15"/>
      <c r="F23" s="15"/>
      <c r="G23" s="15"/>
      <c r="H23" s="15"/>
      <c r="I23" s="15"/>
      <c r="J23" s="40"/>
    </row>
    <row r="24" spans="1:10" ht="15" x14ac:dyDescent="0.25">
      <c r="A24" s="17" t="s">
        <v>70</v>
      </c>
      <c r="B24" s="15"/>
      <c r="C24" s="15"/>
      <c r="D24" s="15"/>
      <c r="E24" s="15"/>
      <c r="F24" s="15"/>
      <c r="G24" s="15"/>
      <c r="H24" s="15"/>
      <c r="I24" s="15"/>
      <c r="J24" s="40"/>
    </row>
    <row r="25" spans="1:10" ht="15" x14ac:dyDescent="0.25">
      <c r="A25" s="17" t="s">
        <v>113</v>
      </c>
      <c r="B25" s="15"/>
      <c r="C25" s="15"/>
      <c r="D25" s="15"/>
      <c r="E25" s="15"/>
      <c r="F25" s="15"/>
      <c r="G25" s="15"/>
      <c r="H25" s="16"/>
      <c r="I25" s="49"/>
      <c r="J25" s="50">
        <f>19546.81/590*10/240*8</f>
        <v>11.043395480225989</v>
      </c>
    </row>
    <row r="26" spans="1:10" ht="15" x14ac:dyDescent="0.25">
      <c r="A26" s="17" t="s">
        <v>29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17" t="s">
        <v>114</v>
      </c>
      <c r="B27" s="15"/>
      <c r="C27" s="15"/>
      <c r="D27" s="15"/>
      <c r="E27" s="15"/>
      <c r="F27" s="15"/>
      <c r="G27" s="15"/>
      <c r="H27" s="16"/>
      <c r="I27" s="51"/>
      <c r="J27" s="50">
        <f>80836.25/590*10/240*8</f>
        <v>45.670197740112989</v>
      </c>
    </row>
    <row r="28" spans="1:10" ht="15" x14ac:dyDescent="0.25">
      <c r="A28" s="14" t="s">
        <v>115</v>
      </c>
      <c r="B28" s="21"/>
      <c r="C28" s="21"/>
      <c r="D28" s="21"/>
      <c r="E28" s="15"/>
      <c r="F28" s="15"/>
      <c r="G28" s="15"/>
      <c r="H28" s="15"/>
      <c r="I28" s="15"/>
      <c r="J28" s="40"/>
    </row>
    <row r="29" spans="1:10" ht="15" x14ac:dyDescent="0.25">
      <c r="A29" s="17" t="s">
        <v>116</v>
      </c>
      <c r="B29" s="15"/>
      <c r="C29" s="15"/>
      <c r="D29" s="15"/>
      <c r="E29" s="15"/>
      <c r="F29" s="15"/>
      <c r="G29" s="15"/>
      <c r="H29" s="16"/>
      <c r="I29" s="51"/>
      <c r="J29" s="52">
        <v>2588.88</v>
      </c>
    </row>
    <row r="30" spans="1:10" ht="15" x14ac:dyDescent="0.25">
      <c r="A30" s="27" t="s">
        <v>77</v>
      </c>
      <c r="B30" s="20"/>
      <c r="C30" s="20"/>
      <c r="D30" s="20"/>
      <c r="E30" s="20"/>
      <c r="F30" s="20"/>
      <c r="G30" s="20"/>
      <c r="H30" s="20"/>
      <c r="I30" s="20"/>
      <c r="J30" s="24">
        <f>SUM(J20:J29)-0.04</f>
        <v>10208.332853730768</v>
      </c>
    </row>
    <row r="31" spans="1:10" ht="15" x14ac:dyDescent="0.25">
      <c r="A31" s="27" t="s">
        <v>78</v>
      </c>
      <c r="B31" s="20"/>
      <c r="C31" s="20"/>
      <c r="D31" s="20"/>
      <c r="E31" s="20"/>
      <c r="F31" s="20"/>
      <c r="G31" s="20"/>
      <c r="H31" s="20"/>
      <c r="I31" s="20"/>
      <c r="J31" s="24">
        <f>J30*20%</f>
        <v>2041.6665707461536</v>
      </c>
    </row>
    <row r="32" spans="1:10" ht="15" x14ac:dyDescent="0.25">
      <c r="A32" s="27" t="s">
        <v>117</v>
      </c>
      <c r="B32" s="54"/>
      <c r="C32" s="54"/>
      <c r="D32" s="54"/>
      <c r="E32" s="54"/>
      <c r="F32" s="54"/>
      <c r="G32" s="20"/>
      <c r="H32" s="20"/>
      <c r="I32" s="20"/>
      <c r="J32" s="24">
        <f>J30+J31</f>
        <v>12249.999424476922</v>
      </c>
    </row>
    <row r="33" spans="1:14" ht="15" x14ac:dyDescent="0.25">
      <c r="A33" s="27" t="s">
        <v>118</v>
      </c>
      <c r="B33" s="54"/>
      <c r="C33" s="54"/>
      <c r="D33" s="54"/>
      <c r="E33" s="54"/>
      <c r="F33" s="54"/>
      <c r="G33" s="54"/>
      <c r="H33" s="54"/>
      <c r="I33" s="54"/>
      <c r="J33" s="24">
        <f>J32/10</f>
        <v>1224.9999424476923</v>
      </c>
      <c r="M33" s="28"/>
    </row>
    <row r="34" spans="1:14" ht="15" x14ac:dyDescent="0.25">
      <c r="A34" s="29"/>
    </row>
    <row r="35" spans="1:14" ht="15" x14ac:dyDescent="0.25">
      <c r="A35" s="29"/>
    </row>
    <row r="36" spans="1:14" ht="15" x14ac:dyDescent="0.25">
      <c r="A36" s="59" t="s">
        <v>36</v>
      </c>
      <c r="B36" s="60"/>
      <c r="C36" s="60"/>
      <c r="D36" s="60"/>
      <c r="E36" s="60" t="s">
        <v>37</v>
      </c>
      <c r="F36" s="60"/>
      <c r="G36" s="59" t="s">
        <v>81</v>
      </c>
      <c r="H36" s="60"/>
      <c r="I36" s="61" t="s">
        <v>38</v>
      </c>
      <c r="J36" s="60"/>
      <c r="K36" s="31"/>
      <c r="L36" s="31"/>
      <c r="M36" s="31"/>
      <c r="N36" s="31"/>
    </row>
    <row r="37" spans="1:14" ht="15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31"/>
      <c r="L37" s="31"/>
      <c r="M37" s="31"/>
      <c r="N37" s="31"/>
    </row>
    <row r="38" spans="1:14" s="34" customForma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0"/>
      <c r="K38" s="33"/>
      <c r="L38" s="33"/>
      <c r="M38" s="33"/>
      <c r="N38" s="33"/>
    </row>
    <row r="39" spans="1:14" s="34" customFormat="1" ht="12.75" x14ac:dyDescent="0.2">
      <c r="A39" s="63"/>
      <c r="B39" s="64"/>
      <c r="C39" s="65"/>
      <c r="D39" s="62"/>
      <c r="E39" s="62"/>
      <c r="F39" s="62"/>
      <c r="G39" s="62"/>
      <c r="H39" s="66"/>
      <c r="I39" s="67"/>
      <c r="J39" s="66"/>
      <c r="K39" s="37"/>
      <c r="L39" s="33"/>
      <c r="M39" s="33"/>
      <c r="N39" s="33"/>
    </row>
    <row r="40" spans="1:14" s="34" customFormat="1" ht="12" x14ac:dyDescent="0.2">
      <c r="A40" s="64"/>
      <c r="B40" s="64"/>
      <c r="C40" s="65"/>
      <c r="D40" s="62"/>
      <c r="E40" s="62"/>
      <c r="F40" s="62"/>
      <c r="G40" s="62"/>
      <c r="H40" s="66"/>
      <c r="I40" s="66"/>
      <c r="J40" s="66"/>
      <c r="K40" s="37"/>
      <c r="L40" s="33"/>
      <c r="M40" s="33"/>
      <c r="N40" s="33"/>
    </row>
    <row r="41" spans="1:14" s="34" customFormat="1" ht="12" x14ac:dyDescent="0.2">
      <c r="C41" s="35"/>
      <c r="D41" s="33"/>
      <c r="E41" s="33"/>
      <c r="F41" s="33"/>
      <c r="G41" s="33"/>
      <c r="H41" s="33"/>
      <c r="I41" s="33"/>
      <c r="J41" s="37"/>
      <c r="K41" s="37"/>
      <c r="L41" s="33"/>
      <c r="M41" s="33"/>
      <c r="N41" s="33"/>
    </row>
    <row r="42" spans="1:14" s="34" customFormat="1" x14ac:dyDescent="0.2">
      <c r="A42" s="35"/>
      <c r="B42" s="33"/>
      <c r="C42" s="33"/>
      <c r="D42" s="33"/>
      <c r="E42" s="33"/>
      <c r="F42" s="33"/>
      <c r="G42" s="33"/>
      <c r="H42" s="33"/>
      <c r="I42" s="33"/>
      <c r="J42" s="31"/>
      <c r="K42" s="33"/>
      <c r="L42" s="33"/>
      <c r="M42" s="33"/>
      <c r="N42" s="33"/>
    </row>
    <row r="43" spans="1:14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</sheetData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6"/>
  <sheetViews>
    <sheetView topLeftCell="A10" workbookViewId="0">
      <selection activeCell="L23" sqref="L23:R29"/>
    </sheetView>
  </sheetViews>
  <sheetFormatPr defaultRowHeight="14.25" x14ac:dyDescent="0.2"/>
  <cols>
    <col min="1" max="1" width="9.140625" style="5"/>
    <col min="2" max="2" width="2.7109375" style="5" customWidth="1"/>
    <col min="3" max="5" width="9.140625" style="5"/>
    <col min="6" max="6" width="1.140625" style="5" customWidth="1"/>
    <col min="7" max="7" width="0.28515625" style="5" hidden="1" customWidth="1"/>
    <col min="8" max="8" width="0.42578125" style="5" hidden="1" customWidth="1"/>
    <col min="9" max="9" width="34" style="5" customWidth="1"/>
    <col min="10" max="10" width="11.42578125" style="5" customWidth="1"/>
    <col min="11" max="16384" width="9.140625" style="5"/>
  </cols>
  <sheetData>
    <row r="1" spans="1:10" ht="15" customHeight="1" x14ac:dyDescent="0.25">
      <c r="A1" s="4"/>
      <c r="F1" s="3" t="s">
        <v>0</v>
      </c>
      <c r="G1" s="4"/>
      <c r="H1" s="3"/>
      <c r="J1" s="3"/>
    </row>
    <row r="2" spans="1:10" ht="15" customHeight="1" x14ac:dyDescent="0.25">
      <c r="F2" s="3" t="s">
        <v>52</v>
      </c>
      <c r="G2" s="3"/>
      <c r="H2" s="3"/>
      <c r="I2" s="3"/>
      <c r="J2" s="3"/>
    </row>
    <row r="3" spans="1:10" ht="15" customHeight="1" x14ac:dyDescent="0.25">
      <c r="A3" s="4"/>
      <c r="F3" s="3" t="s">
        <v>3</v>
      </c>
      <c r="G3" s="3"/>
      <c r="H3" s="3"/>
      <c r="I3" s="3"/>
      <c r="J3" s="3"/>
    </row>
    <row r="4" spans="1:10" ht="15" customHeight="1" x14ac:dyDescent="0.25">
      <c r="A4" s="4"/>
      <c r="F4" s="3" t="s">
        <v>5</v>
      </c>
      <c r="G4" s="3"/>
      <c r="H4" s="3"/>
      <c r="I4" s="3"/>
      <c r="J4" s="3"/>
    </row>
    <row r="5" spans="1:10" ht="15" x14ac:dyDescent="0.25">
      <c r="A5" s="43"/>
      <c r="D5" s="44" t="s">
        <v>6</v>
      </c>
      <c r="E5" s="45">
        <v>1</v>
      </c>
      <c r="G5" s="5" t="s">
        <v>5</v>
      </c>
    </row>
    <row r="6" spans="1:10" ht="15" x14ac:dyDescent="0.25">
      <c r="B6" s="43"/>
      <c r="E6" s="44" t="s">
        <v>119</v>
      </c>
    </row>
    <row r="7" spans="1:10" x14ac:dyDescent="0.2">
      <c r="E7" s="44" t="s">
        <v>120</v>
      </c>
    </row>
    <row r="8" spans="1:10" x14ac:dyDescent="0.2">
      <c r="D8" s="44" t="s">
        <v>105</v>
      </c>
    </row>
    <row r="9" spans="1:10" ht="15" x14ac:dyDescent="0.25">
      <c r="A9" s="46" t="s">
        <v>121</v>
      </c>
      <c r="C9" s="47"/>
    </row>
    <row r="10" spans="1:10" ht="15" x14ac:dyDescent="0.25">
      <c r="D10" s="48" t="s">
        <v>122</v>
      </c>
    </row>
    <row r="12" spans="1:10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20"/>
      <c r="J12" s="20" t="s">
        <v>58</v>
      </c>
    </row>
    <row r="13" spans="1:10" ht="43.5" customHeight="1" x14ac:dyDescent="0.25">
      <c r="A13" s="17" t="s">
        <v>107</v>
      </c>
      <c r="B13" s="15"/>
      <c r="C13" s="15"/>
      <c r="D13" s="15"/>
      <c r="E13" s="15"/>
      <c r="F13" s="15"/>
      <c r="G13" s="15"/>
      <c r="H13" s="16"/>
      <c r="I13" s="18" t="s">
        <v>123</v>
      </c>
      <c r="J13" s="26">
        <f>14389/72*4*1.1</f>
        <v>879.3277777777779</v>
      </c>
    </row>
    <row r="14" spans="1:10" ht="15.75" customHeight="1" x14ac:dyDescent="0.25">
      <c r="A14" s="17" t="s">
        <v>15</v>
      </c>
      <c r="B14" s="15"/>
      <c r="C14" s="15"/>
      <c r="D14" s="15"/>
      <c r="E14" s="15"/>
      <c r="F14" s="15"/>
      <c r="G14" s="15"/>
      <c r="H14" s="15"/>
      <c r="I14" s="18"/>
      <c r="J14" s="40">
        <v>500</v>
      </c>
    </row>
    <row r="15" spans="1:10" ht="15" x14ac:dyDescent="0.25">
      <c r="A15" s="17" t="s">
        <v>16</v>
      </c>
      <c r="B15" s="15"/>
      <c r="C15" s="15"/>
      <c r="D15" s="15"/>
      <c r="E15" s="15"/>
      <c r="F15" s="15"/>
      <c r="G15" s="15"/>
      <c r="H15" s="16"/>
      <c r="I15" s="20" t="s">
        <v>124</v>
      </c>
      <c r="J15" s="26">
        <f>(J13+J14)/29.3*56/12</f>
        <v>219.68815573252436</v>
      </c>
    </row>
    <row r="16" spans="1:10" ht="15" x14ac:dyDescent="0.25">
      <c r="A16" s="17" t="s">
        <v>62</v>
      </c>
      <c r="B16" s="15"/>
      <c r="C16" s="15"/>
      <c r="D16" s="15"/>
      <c r="E16" s="15"/>
      <c r="F16" s="15"/>
      <c r="G16" s="15"/>
      <c r="H16" s="16"/>
      <c r="I16" s="20" t="s">
        <v>125</v>
      </c>
      <c r="J16" s="26">
        <f>(J13+J14)*0.3</f>
        <v>413.7983333333334</v>
      </c>
    </row>
    <row r="17" spans="1:11" ht="15" x14ac:dyDescent="0.25">
      <c r="A17" s="17" t="s">
        <v>20</v>
      </c>
      <c r="B17" s="15"/>
      <c r="C17" s="15"/>
      <c r="D17" s="15"/>
      <c r="E17" s="15"/>
      <c r="F17" s="15"/>
      <c r="G17" s="15"/>
      <c r="H17" s="16"/>
      <c r="I17" s="20" t="s">
        <v>126</v>
      </c>
      <c r="J17" s="26">
        <f>J16/29.3*56/12</f>
        <v>65.906446719757312</v>
      </c>
    </row>
    <row r="18" spans="1:11" ht="15" x14ac:dyDescent="0.25">
      <c r="A18" s="17" t="s">
        <v>65</v>
      </c>
      <c r="B18" s="15"/>
      <c r="C18" s="15"/>
      <c r="D18" s="15"/>
      <c r="E18" s="15"/>
      <c r="F18" s="15"/>
      <c r="G18" s="15"/>
      <c r="H18" s="16"/>
      <c r="I18" s="20" t="s">
        <v>125</v>
      </c>
      <c r="J18" s="26">
        <f>J16</f>
        <v>413.7983333333334</v>
      </c>
    </row>
    <row r="19" spans="1:11" ht="15" x14ac:dyDescent="0.25">
      <c r="A19" s="17" t="s">
        <v>24</v>
      </c>
      <c r="B19" s="15"/>
      <c r="C19" s="15"/>
      <c r="D19" s="15"/>
      <c r="E19" s="15"/>
      <c r="F19" s="15"/>
      <c r="G19" s="15"/>
      <c r="H19" s="16"/>
      <c r="I19" s="20" t="s">
        <v>127</v>
      </c>
      <c r="J19" s="26">
        <f>(J18)/29.3*28/12</f>
        <v>32.953223359878656</v>
      </c>
    </row>
    <row r="20" spans="1:11" ht="15" x14ac:dyDescent="0.25">
      <c r="A20" s="14" t="s">
        <v>26</v>
      </c>
      <c r="B20" s="21"/>
      <c r="C20" s="21"/>
      <c r="D20" s="21"/>
      <c r="E20" s="15"/>
      <c r="F20" s="15"/>
      <c r="G20" s="22"/>
      <c r="H20" s="16"/>
      <c r="I20" s="16"/>
      <c r="J20" s="24">
        <f>SUM(J13:J19)</f>
        <v>2525.4722702566055</v>
      </c>
    </row>
    <row r="21" spans="1:11" ht="15" x14ac:dyDescent="0.25">
      <c r="A21" s="14" t="s">
        <v>27</v>
      </c>
      <c r="B21" s="21"/>
      <c r="C21" s="21"/>
      <c r="D21" s="21"/>
      <c r="E21" s="15"/>
      <c r="F21" s="15"/>
      <c r="G21" s="22"/>
      <c r="H21" s="16"/>
      <c r="I21" s="16"/>
      <c r="J21" s="24">
        <f>SUM(J13:J19)*15%</f>
        <v>378.82084053849081</v>
      </c>
      <c r="K21" s="28"/>
    </row>
    <row r="22" spans="1:11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6"/>
      <c r="J22" s="24">
        <f>(J20+J21)*30.2%</f>
        <v>877.096519460119</v>
      </c>
    </row>
    <row r="23" spans="1:11" ht="15" x14ac:dyDescent="0.25">
      <c r="A23" s="17" t="s">
        <v>69</v>
      </c>
      <c r="B23" s="15"/>
      <c r="C23" s="15"/>
      <c r="D23" s="15"/>
      <c r="E23" s="15"/>
      <c r="F23" s="15"/>
      <c r="G23" s="15"/>
      <c r="H23" s="15"/>
      <c r="I23" s="15"/>
      <c r="J23" s="40"/>
    </row>
    <row r="24" spans="1:11" ht="15" x14ac:dyDescent="0.25">
      <c r="A24" s="17" t="s">
        <v>128</v>
      </c>
      <c r="B24" s="15"/>
      <c r="C24" s="15"/>
      <c r="D24" s="15"/>
      <c r="E24" s="15"/>
      <c r="F24" s="15"/>
      <c r="G24" s="15"/>
      <c r="H24" s="15"/>
      <c r="I24" s="15"/>
      <c r="J24" s="40"/>
    </row>
    <row r="25" spans="1:11" ht="15" x14ac:dyDescent="0.25">
      <c r="A25" s="17" t="s">
        <v>95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1" ht="15" x14ac:dyDescent="0.25">
      <c r="A26" s="17" t="s">
        <v>70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1" ht="15" x14ac:dyDescent="0.25">
      <c r="A27" s="68" t="s">
        <v>129</v>
      </c>
      <c r="B27" s="69"/>
      <c r="C27" s="69"/>
      <c r="D27" s="69"/>
      <c r="E27" s="69"/>
      <c r="F27" s="69"/>
      <c r="G27" s="69"/>
      <c r="H27" s="70"/>
      <c r="I27" s="49"/>
      <c r="J27" s="50">
        <f>19546.81/590*5/240*4</f>
        <v>2.7608488700564973</v>
      </c>
    </row>
    <row r="28" spans="1:11" ht="15" x14ac:dyDescent="0.25">
      <c r="A28" s="17" t="s">
        <v>72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1" ht="15" x14ac:dyDescent="0.25">
      <c r="A29" s="68" t="s">
        <v>130</v>
      </c>
      <c r="B29" s="69"/>
      <c r="C29" s="69"/>
      <c r="D29" s="69"/>
      <c r="E29" s="69"/>
      <c r="F29" s="69"/>
      <c r="G29" s="69"/>
      <c r="H29" s="70"/>
      <c r="I29" s="49"/>
      <c r="J29" s="50">
        <f>80836.25/590*5/240*4</f>
        <v>11.417549435028247</v>
      </c>
    </row>
    <row r="30" spans="1:11" x14ac:dyDescent="0.2">
      <c r="A30" s="14" t="s">
        <v>74</v>
      </c>
      <c r="B30" s="15"/>
      <c r="C30" s="15"/>
      <c r="D30" s="15"/>
      <c r="E30" s="15"/>
      <c r="F30" s="15"/>
      <c r="G30" s="15"/>
      <c r="H30" s="15"/>
      <c r="I30" s="15"/>
      <c r="J30" s="40"/>
    </row>
    <row r="31" spans="1:11" ht="15" x14ac:dyDescent="0.25">
      <c r="A31" s="17" t="s">
        <v>131</v>
      </c>
      <c r="B31" s="15"/>
      <c r="C31" s="15"/>
      <c r="D31" s="15"/>
      <c r="E31" s="15"/>
      <c r="F31" s="15"/>
      <c r="G31" s="15"/>
      <c r="H31" s="16"/>
      <c r="I31" s="51"/>
      <c r="J31" s="52">
        <v>5.58</v>
      </c>
    </row>
    <row r="32" spans="1:11" ht="15" x14ac:dyDescent="0.25">
      <c r="A32" s="17" t="s">
        <v>116</v>
      </c>
      <c r="B32" s="15"/>
      <c r="C32" s="15"/>
      <c r="D32" s="15"/>
      <c r="E32" s="15"/>
      <c r="F32" s="15"/>
      <c r="G32" s="15"/>
      <c r="H32" s="15"/>
      <c r="I32" s="15"/>
      <c r="J32" s="40">
        <v>2303.0300000000002</v>
      </c>
    </row>
    <row r="33" spans="1:14" ht="15" x14ac:dyDescent="0.25">
      <c r="A33" s="14" t="s">
        <v>77</v>
      </c>
      <c r="B33" s="15"/>
      <c r="C33" s="15"/>
      <c r="D33" s="15"/>
      <c r="E33" s="15"/>
      <c r="F33" s="15"/>
      <c r="G33" s="15"/>
      <c r="H33" s="16"/>
      <c r="I33" s="16"/>
      <c r="J33" s="24">
        <f>J20+J21+J22+J27+J29+J31+J32</f>
        <v>6104.1780285602999</v>
      </c>
    </row>
    <row r="34" spans="1:14" ht="15" x14ac:dyDescent="0.25">
      <c r="A34" s="71" t="s">
        <v>78</v>
      </c>
      <c r="B34" s="72"/>
      <c r="C34" s="72"/>
      <c r="D34" s="72"/>
      <c r="E34" s="72"/>
      <c r="F34" s="72"/>
      <c r="G34" s="72"/>
      <c r="H34" s="72"/>
      <c r="I34" s="72"/>
      <c r="J34" s="24">
        <f>J33*20%</f>
        <v>1220.83560571206</v>
      </c>
    </row>
    <row r="35" spans="1:14" ht="15" x14ac:dyDescent="0.25">
      <c r="A35" s="14" t="s">
        <v>132</v>
      </c>
      <c r="B35" s="21"/>
      <c r="C35" s="21"/>
      <c r="D35" s="21"/>
      <c r="E35" s="21" t="s">
        <v>133</v>
      </c>
      <c r="F35" s="15"/>
      <c r="G35" s="73"/>
      <c r="H35" s="16"/>
      <c r="I35" s="16"/>
      <c r="J35" s="74">
        <f>J33+J34-0.01</f>
        <v>7325.0036342723597</v>
      </c>
      <c r="K35" s="28"/>
    </row>
    <row r="36" spans="1:14" ht="15" x14ac:dyDescent="0.25">
      <c r="A36" s="27" t="s">
        <v>134</v>
      </c>
      <c r="B36" s="54"/>
      <c r="C36" s="54"/>
      <c r="D36" s="54"/>
      <c r="E36" s="54"/>
      <c r="F36" s="54"/>
      <c r="G36" s="54"/>
      <c r="H36" s="20"/>
      <c r="I36" s="20"/>
      <c r="J36" s="24">
        <f>J35/5</f>
        <v>1465.0007268544718</v>
      </c>
      <c r="M36" s="28"/>
    </row>
    <row r="37" spans="1:14" ht="15" x14ac:dyDescent="0.25">
      <c r="A37" s="75"/>
      <c r="B37" s="76"/>
      <c r="C37" s="76"/>
      <c r="D37" s="76"/>
      <c r="E37" s="76"/>
      <c r="F37" s="76"/>
      <c r="G37" s="76"/>
      <c r="H37" s="76"/>
      <c r="I37" s="76"/>
      <c r="J37" s="76"/>
    </row>
    <row r="38" spans="1:14" ht="15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</row>
    <row r="39" spans="1:14" ht="15" x14ac:dyDescent="0.25">
      <c r="A39" s="59" t="s">
        <v>36</v>
      </c>
      <c r="B39" s="60"/>
      <c r="C39" s="60"/>
      <c r="D39" s="60"/>
      <c r="E39" s="60" t="s">
        <v>37</v>
      </c>
      <c r="F39" s="60"/>
      <c r="G39" s="59" t="s">
        <v>81</v>
      </c>
      <c r="H39" s="60"/>
      <c r="I39" s="61" t="s">
        <v>38</v>
      </c>
      <c r="J39" s="60"/>
      <c r="K39" s="31"/>
      <c r="L39" s="31"/>
      <c r="M39" s="31"/>
      <c r="N39" s="31"/>
    </row>
    <row r="40" spans="1:14" ht="15" x14ac:dyDescent="0.25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31"/>
      <c r="L40" s="31"/>
      <c r="M40" s="31"/>
      <c r="N40" s="31"/>
    </row>
    <row r="41" spans="1:14" s="34" customFormat="1" x14ac:dyDescent="0.2">
      <c r="A41" s="62"/>
      <c r="B41" s="62"/>
      <c r="C41" s="62"/>
      <c r="D41" s="62"/>
      <c r="E41" s="62"/>
      <c r="F41" s="62"/>
      <c r="G41" s="62"/>
      <c r="H41" s="62"/>
      <c r="I41" s="62"/>
      <c r="J41" s="60"/>
      <c r="K41" s="33"/>
      <c r="L41" s="33"/>
      <c r="M41" s="33"/>
      <c r="N41" s="33"/>
    </row>
    <row r="42" spans="1:14" s="34" customFormat="1" ht="12.75" x14ac:dyDescent="0.2">
      <c r="A42" s="63"/>
      <c r="B42" s="64"/>
      <c r="C42" s="65"/>
      <c r="D42" s="62"/>
      <c r="E42" s="62"/>
      <c r="F42" s="62"/>
      <c r="G42" s="62"/>
      <c r="H42" s="66"/>
      <c r="I42" s="67"/>
      <c r="J42" s="66"/>
      <c r="K42" s="37"/>
      <c r="L42" s="33"/>
      <c r="M42" s="33"/>
      <c r="N42" s="33"/>
    </row>
    <row r="43" spans="1:14" s="34" customFormat="1" x14ac:dyDescent="0.2">
      <c r="A43" s="64"/>
      <c r="B43" s="64"/>
      <c r="C43" s="65"/>
      <c r="D43" s="62"/>
      <c r="E43" s="62"/>
      <c r="F43" s="62"/>
      <c r="G43" s="62"/>
      <c r="H43" s="66"/>
      <c r="I43" s="61"/>
      <c r="J43" s="66"/>
      <c r="K43" s="33"/>
      <c r="L43" s="33"/>
      <c r="M43" s="33"/>
      <c r="N43" s="33"/>
    </row>
    <row r="44" spans="1:14" s="34" customFormat="1" x14ac:dyDescent="0.2">
      <c r="A44" s="64"/>
      <c r="B44" s="64"/>
      <c r="C44" s="76"/>
      <c r="D44" s="76"/>
      <c r="E44" s="76"/>
      <c r="F44" s="76"/>
      <c r="G44" s="76"/>
      <c r="H44" s="76"/>
      <c r="I44" s="76"/>
      <c r="J44" s="76"/>
      <c r="K44" s="33"/>
      <c r="L44" s="33"/>
      <c r="M44" s="33"/>
      <c r="N44" s="33"/>
    </row>
    <row r="45" spans="1:14" s="34" customFormat="1" x14ac:dyDescent="0.2">
      <c r="A45" s="65"/>
      <c r="B45" s="62"/>
      <c r="C45" s="62"/>
      <c r="D45" s="62"/>
      <c r="E45" s="62"/>
      <c r="F45" s="62"/>
      <c r="G45" s="62"/>
      <c r="H45" s="62"/>
      <c r="I45" s="62"/>
      <c r="J45" s="60"/>
      <c r="K45" s="33"/>
      <c r="L45" s="33"/>
      <c r="M45" s="33"/>
      <c r="N45" s="33"/>
    </row>
    <row r="46" spans="1:14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</sheetData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4"/>
  <sheetViews>
    <sheetView topLeftCell="A10" workbookViewId="0">
      <selection activeCell="I45" sqref="I45"/>
    </sheetView>
  </sheetViews>
  <sheetFormatPr defaultRowHeight="14.25" x14ac:dyDescent="0.2"/>
  <cols>
    <col min="1" max="1" width="9.140625" style="5"/>
    <col min="2" max="2" width="2.7109375" style="5" customWidth="1"/>
    <col min="3" max="4" width="9.140625" style="5"/>
    <col min="5" max="5" width="8.140625" style="5" customWidth="1"/>
    <col min="6" max="6" width="9.140625" style="5" hidden="1" customWidth="1"/>
    <col min="7" max="7" width="1.5703125" style="5" hidden="1" customWidth="1"/>
    <col min="8" max="8" width="16.42578125" style="5" hidden="1" customWidth="1"/>
    <col min="9" max="9" width="34.7109375" style="5" customWidth="1"/>
    <col min="10" max="10" width="13.85546875" style="5" customWidth="1"/>
    <col min="11" max="16384" width="9.140625" style="5"/>
  </cols>
  <sheetData>
    <row r="1" spans="1:13" ht="15" customHeight="1" x14ac:dyDescent="0.25">
      <c r="A1" s="4"/>
      <c r="F1" s="3" t="s">
        <v>0</v>
      </c>
      <c r="G1" s="4"/>
      <c r="H1" s="3"/>
      <c r="I1" s="3" t="s">
        <v>0</v>
      </c>
      <c r="J1" s="4"/>
      <c r="K1" s="3"/>
      <c r="M1" s="3"/>
    </row>
    <row r="2" spans="1:13" ht="15" customHeight="1" x14ac:dyDescent="0.25">
      <c r="F2" s="3" t="s">
        <v>135</v>
      </c>
      <c r="G2" s="3"/>
      <c r="H2" s="3"/>
      <c r="I2" s="3" t="s">
        <v>52</v>
      </c>
      <c r="J2" s="3"/>
      <c r="K2" s="3"/>
      <c r="L2" s="3"/>
      <c r="M2" s="3"/>
    </row>
    <row r="3" spans="1:13" ht="15" customHeight="1" x14ac:dyDescent="0.25">
      <c r="A3" s="4"/>
      <c r="F3" s="3" t="s">
        <v>3</v>
      </c>
      <c r="G3" s="3"/>
      <c r="H3" s="3"/>
      <c r="I3" s="3" t="s">
        <v>3</v>
      </c>
      <c r="J3" s="3"/>
      <c r="K3" s="3"/>
      <c r="L3" s="3"/>
      <c r="M3" s="3"/>
    </row>
    <row r="4" spans="1:13" ht="15" customHeight="1" x14ac:dyDescent="0.25">
      <c r="A4" s="4"/>
      <c r="F4" s="3" t="s">
        <v>101</v>
      </c>
      <c r="G4" s="3"/>
      <c r="H4" s="3"/>
      <c r="I4" s="3" t="s">
        <v>5</v>
      </c>
      <c r="J4" s="3"/>
      <c r="K4" s="3"/>
      <c r="L4" s="3"/>
      <c r="M4" s="3"/>
    </row>
    <row r="5" spans="1:13" ht="15" x14ac:dyDescent="0.25">
      <c r="A5" s="43"/>
      <c r="B5" s="57"/>
      <c r="C5" s="57"/>
      <c r="D5" s="44" t="s">
        <v>6</v>
      </c>
      <c r="E5" s="58"/>
      <c r="F5" s="57"/>
      <c r="G5" s="57" t="s">
        <v>5</v>
      </c>
    </row>
    <row r="6" spans="1:13" ht="15" x14ac:dyDescent="0.25">
      <c r="B6" s="48"/>
      <c r="C6" s="57"/>
      <c r="D6" s="57"/>
      <c r="E6" s="44" t="s">
        <v>103</v>
      </c>
      <c r="F6" s="57"/>
      <c r="G6" s="57"/>
    </row>
    <row r="7" spans="1:13" x14ac:dyDescent="0.2">
      <c r="B7" s="57"/>
      <c r="C7" s="57"/>
      <c r="D7" s="57"/>
      <c r="E7" s="44" t="s">
        <v>136</v>
      </c>
      <c r="F7" s="57"/>
      <c r="G7" s="57"/>
    </row>
    <row r="8" spans="1:13" x14ac:dyDescent="0.2">
      <c r="B8" s="57"/>
      <c r="C8" s="57"/>
      <c r="D8" s="44" t="s">
        <v>105</v>
      </c>
      <c r="E8" s="57"/>
      <c r="F8" s="57"/>
      <c r="G8" s="57"/>
    </row>
    <row r="9" spans="1:13" ht="15" x14ac:dyDescent="0.25">
      <c r="A9" s="46" t="s">
        <v>137</v>
      </c>
      <c r="C9" s="47"/>
    </row>
    <row r="10" spans="1:13" ht="15" x14ac:dyDescent="0.25">
      <c r="D10" s="48" t="s">
        <v>57</v>
      </c>
    </row>
    <row r="12" spans="1:13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20"/>
      <c r="J12" s="16" t="s">
        <v>58</v>
      </c>
    </row>
    <row r="13" spans="1:13" ht="55.5" customHeight="1" x14ac:dyDescent="0.25">
      <c r="A13" s="17" t="s">
        <v>107</v>
      </c>
      <c r="B13" s="15"/>
      <c r="C13" s="15"/>
      <c r="D13" s="15"/>
      <c r="E13" s="15"/>
      <c r="F13" s="15"/>
      <c r="G13" s="15"/>
      <c r="H13" s="16"/>
      <c r="I13" s="18" t="s">
        <v>138</v>
      </c>
      <c r="J13" s="26">
        <f>14389/72*4*1.1</f>
        <v>879.3277777777779</v>
      </c>
    </row>
    <row r="14" spans="1:13" ht="15" x14ac:dyDescent="0.25">
      <c r="A14" s="17" t="s">
        <v>15</v>
      </c>
      <c r="B14" s="15"/>
      <c r="C14" s="15"/>
      <c r="D14" s="15"/>
      <c r="E14" s="15"/>
      <c r="F14" s="15"/>
      <c r="G14" s="15"/>
      <c r="H14" s="16"/>
      <c r="I14" s="18"/>
      <c r="J14" s="26">
        <v>400</v>
      </c>
    </row>
    <row r="15" spans="1:13" ht="15" x14ac:dyDescent="0.25">
      <c r="A15" s="17" t="s">
        <v>16</v>
      </c>
      <c r="B15" s="15"/>
      <c r="C15" s="15"/>
      <c r="D15" s="15"/>
      <c r="E15" s="15"/>
      <c r="F15" s="15"/>
      <c r="G15" s="15"/>
      <c r="H15" s="16"/>
      <c r="I15" s="20" t="s">
        <v>139</v>
      </c>
      <c r="J15" s="26">
        <f>(J13+J14)/29.3*56/12</f>
        <v>203.7609657439009</v>
      </c>
    </row>
    <row r="16" spans="1:13" ht="15" x14ac:dyDescent="0.25">
      <c r="A16" s="17" t="s">
        <v>62</v>
      </c>
      <c r="B16" s="15"/>
      <c r="C16" s="15"/>
      <c r="D16" s="15"/>
      <c r="E16" s="15"/>
      <c r="F16" s="15"/>
      <c r="G16" s="15"/>
      <c r="H16" s="16"/>
      <c r="I16" s="20" t="s">
        <v>140</v>
      </c>
      <c r="J16" s="26">
        <f>(J13+J14)*0.3</f>
        <v>383.7983333333334</v>
      </c>
    </row>
    <row r="17" spans="1:10" ht="15" x14ac:dyDescent="0.25">
      <c r="A17" s="17" t="s">
        <v>20</v>
      </c>
      <c r="B17" s="15"/>
      <c r="C17" s="15"/>
      <c r="D17" s="15"/>
      <c r="E17" s="15"/>
      <c r="F17" s="15"/>
      <c r="G17" s="15"/>
      <c r="H17" s="16"/>
      <c r="I17" s="20" t="s">
        <v>141</v>
      </c>
      <c r="J17" s="26">
        <f>J16/29.3*56/12</f>
        <v>61.128289723170276</v>
      </c>
    </row>
    <row r="18" spans="1:10" ht="15" x14ac:dyDescent="0.25">
      <c r="A18" s="17" t="s">
        <v>142</v>
      </c>
      <c r="B18" s="15"/>
      <c r="C18" s="15"/>
      <c r="D18" s="15"/>
      <c r="E18" s="15"/>
      <c r="F18" s="15"/>
      <c r="G18" s="15"/>
      <c r="H18" s="16"/>
      <c r="I18" s="20" t="s">
        <v>140</v>
      </c>
      <c r="J18" s="26">
        <f>J16</f>
        <v>383.7983333333334</v>
      </c>
    </row>
    <row r="19" spans="1:10" ht="15" x14ac:dyDescent="0.25">
      <c r="A19" s="17" t="s">
        <v>24</v>
      </c>
      <c r="B19" s="15"/>
      <c r="C19" s="15"/>
      <c r="D19" s="15"/>
      <c r="E19" s="15"/>
      <c r="F19" s="15"/>
      <c r="G19" s="15"/>
      <c r="H19" s="16"/>
      <c r="I19" s="20" t="s">
        <v>143</v>
      </c>
      <c r="J19" s="26">
        <f>J18/29.3*28/12</f>
        <v>30.564144861585138</v>
      </c>
    </row>
    <row r="20" spans="1:10" ht="15" x14ac:dyDescent="0.25">
      <c r="A20" s="14" t="s">
        <v>26</v>
      </c>
      <c r="B20" s="21"/>
      <c r="C20" s="21"/>
      <c r="D20" s="21"/>
      <c r="E20" s="15"/>
      <c r="F20" s="15"/>
      <c r="G20" s="22"/>
      <c r="H20" s="16"/>
      <c r="I20" s="16"/>
      <c r="J20" s="24">
        <f>SUM(J13:J19)</f>
        <v>2342.3778447731011</v>
      </c>
    </row>
    <row r="21" spans="1:10" ht="15" x14ac:dyDescent="0.25">
      <c r="A21" s="14" t="s">
        <v>22</v>
      </c>
      <c r="B21" s="21"/>
      <c r="C21" s="21"/>
      <c r="D21" s="21"/>
      <c r="E21" s="15"/>
      <c r="F21" s="15"/>
      <c r="G21" s="22"/>
      <c r="H21" s="16"/>
      <c r="I21" s="16"/>
      <c r="J21" s="24">
        <f>SUM(J13:J19)*15%</f>
        <v>351.35667671596514</v>
      </c>
    </row>
    <row r="22" spans="1:10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6"/>
      <c r="J22" s="24">
        <f>(J20+J21)*0.302</f>
        <v>813.50782548969789</v>
      </c>
    </row>
    <row r="23" spans="1:10" ht="15" x14ac:dyDescent="0.25">
      <c r="A23" s="17" t="s">
        <v>69</v>
      </c>
      <c r="B23" s="15"/>
      <c r="C23" s="15"/>
      <c r="D23" s="15"/>
      <c r="E23" s="15"/>
      <c r="F23" s="15"/>
      <c r="G23" s="15"/>
      <c r="H23" s="15"/>
      <c r="I23" s="15"/>
      <c r="J23" s="40"/>
    </row>
    <row r="24" spans="1:10" ht="15" x14ac:dyDescent="0.25">
      <c r="A24" s="17" t="s">
        <v>144</v>
      </c>
      <c r="B24" s="15"/>
      <c r="C24" s="15"/>
      <c r="D24" s="15"/>
      <c r="E24" s="15"/>
      <c r="F24" s="15"/>
      <c r="G24" s="15"/>
      <c r="H24" s="15"/>
      <c r="I24" s="15"/>
      <c r="J24" s="40"/>
    </row>
    <row r="25" spans="1:10" ht="15" x14ac:dyDescent="0.25">
      <c r="A25" s="17" t="s">
        <v>95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0" ht="15" x14ac:dyDescent="0.25">
      <c r="A26" s="17" t="s">
        <v>29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17" t="s">
        <v>145</v>
      </c>
      <c r="B27" s="15"/>
      <c r="C27" s="15"/>
      <c r="D27" s="15"/>
      <c r="E27" s="15"/>
      <c r="F27" s="15"/>
      <c r="G27" s="15"/>
      <c r="H27" s="16"/>
      <c r="I27" s="49"/>
      <c r="J27" s="50">
        <f>19546.81/590*10/240*4</f>
        <v>5.5216977401129945</v>
      </c>
    </row>
    <row r="28" spans="1:10" ht="15" x14ac:dyDescent="0.25">
      <c r="A28" s="17" t="s">
        <v>72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0" ht="15" x14ac:dyDescent="0.25">
      <c r="A29" s="17" t="s">
        <v>146</v>
      </c>
      <c r="B29" s="15"/>
      <c r="C29" s="15"/>
      <c r="D29" s="15"/>
      <c r="E29" s="15"/>
      <c r="F29" s="15"/>
      <c r="G29" s="15"/>
      <c r="H29" s="16"/>
      <c r="I29" s="51"/>
      <c r="J29" s="52">
        <f>80836.25/590*10/240*4</f>
        <v>22.835098870056495</v>
      </c>
    </row>
    <row r="30" spans="1:10" x14ac:dyDescent="0.2">
      <c r="A30" s="14" t="s">
        <v>74</v>
      </c>
      <c r="B30" s="15"/>
      <c r="C30" s="15"/>
      <c r="D30" s="15"/>
      <c r="E30" s="15"/>
      <c r="F30" s="15"/>
      <c r="G30" s="15"/>
      <c r="H30" s="16"/>
      <c r="I30" s="76"/>
      <c r="J30" s="28"/>
    </row>
    <row r="31" spans="1:10" ht="15" x14ac:dyDescent="0.25">
      <c r="A31" s="53" t="s">
        <v>147</v>
      </c>
      <c r="B31" s="20"/>
      <c r="C31" s="20"/>
      <c r="D31" s="20"/>
      <c r="E31" s="20"/>
      <c r="F31" s="20"/>
      <c r="G31" s="20"/>
      <c r="H31" s="20"/>
      <c r="I31" s="20"/>
      <c r="J31" s="26">
        <v>2672.73</v>
      </c>
    </row>
    <row r="32" spans="1:10" ht="15" x14ac:dyDescent="0.25">
      <c r="A32" s="27" t="s">
        <v>148</v>
      </c>
      <c r="B32" s="20"/>
      <c r="C32" s="20"/>
      <c r="D32" s="20"/>
      <c r="E32" s="20"/>
      <c r="F32" s="20"/>
      <c r="G32" s="20"/>
      <c r="H32" s="20"/>
      <c r="I32" s="20"/>
      <c r="J32" s="24">
        <f>J20+J21+J22+J27+J29+J31</f>
        <v>6208.3291435889332</v>
      </c>
    </row>
    <row r="33" spans="1:14" ht="15" x14ac:dyDescent="0.25">
      <c r="A33" s="27" t="s">
        <v>78</v>
      </c>
      <c r="B33" s="20"/>
      <c r="C33" s="20"/>
      <c r="D33" s="20"/>
      <c r="E33" s="20"/>
      <c r="F33" s="20"/>
      <c r="G33" s="20"/>
      <c r="H33" s="20"/>
      <c r="I33" s="16"/>
      <c r="J33" s="74">
        <f>J32*20%</f>
        <v>1241.6658287177868</v>
      </c>
    </row>
    <row r="34" spans="1:14" ht="15" x14ac:dyDescent="0.25">
      <c r="A34" s="27" t="s">
        <v>149</v>
      </c>
      <c r="B34" s="54"/>
      <c r="C34" s="54"/>
      <c r="D34" s="54"/>
      <c r="E34" s="54"/>
      <c r="F34" s="54"/>
      <c r="G34" s="54"/>
      <c r="H34" s="20"/>
      <c r="I34" s="16"/>
      <c r="J34" s="74">
        <f>J32+J33+0.01</f>
        <v>7450.0049723067204</v>
      </c>
    </row>
    <row r="35" spans="1:14" ht="15" x14ac:dyDescent="0.25">
      <c r="A35" s="27" t="s">
        <v>150</v>
      </c>
      <c r="B35" s="54"/>
      <c r="C35" s="54"/>
      <c r="D35" s="54"/>
      <c r="E35" s="54"/>
      <c r="F35" s="54"/>
      <c r="G35" s="54"/>
      <c r="H35" s="20"/>
      <c r="I35" s="20"/>
      <c r="J35" s="77">
        <f>J34/10</f>
        <v>745.00049723067207</v>
      </c>
      <c r="M35" s="28"/>
    </row>
    <row r="36" spans="1:14" s="34" customForma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1"/>
      <c r="K36" s="33"/>
      <c r="L36" s="33"/>
      <c r="M36" s="33"/>
      <c r="N36" s="33"/>
    </row>
    <row r="37" spans="1:14" s="34" customForma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1"/>
      <c r="K37" s="33"/>
      <c r="L37" s="33"/>
      <c r="M37" s="33"/>
      <c r="N37" s="33"/>
    </row>
    <row r="38" spans="1:14" s="34" customFormat="1" ht="15" x14ac:dyDescent="0.25">
      <c r="A38" s="59" t="s">
        <v>36</v>
      </c>
      <c r="B38" s="60"/>
      <c r="C38" s="60"/>
      <c r="D38" s="60"/>
      <c r="E38" s="60" t="s">
        <v>37</v>
      </c>
      <c r="F38" s="60"/>
      <c r="G38" s="59" t="s">
        <v>81</v>
      </c>
      <c r="H38" s="60"/>
      <c r="I38" s="61" t="s">
        <v>38</v>
      </c>
      <c r="J38" s="60"/>
      <c r="K38" s="33"/>
      <c r="L38" s="33"/>
      <c r="M38" s="33"/>
      <c r="N38" s="33"/>
    </row>
    <row r="39" spans="1:14" s="34" customForma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1"/>
      <c r="K39" s="33"/>
      <c r="L39" s="33"/>
      <c r="M39" s="33"/>
      <c r="N39" s="33"/>
    </row>
    <row r="40" spans="1:14" s="34" customFormat="1" ht="12.75" x14ac:dyDescent="0.2">
      <c r="A40" s="56"/>
      <c r="C40" s="35"/>
      <c r="D40" s="33"/>
      <c r="E40" s="33"/>
      <c r="F40" s="33"/>
      <c r="G40" s="33"/>
      <c r="H40" s="37"/>
      <c r="I40" s="78"/>
      <c r="J40" s="79"/>
      <c r="K40" s="37"/>
      <c r="L40" s="33"/>
      <c r="M40" s="33"/>
      <c r="N40" s="33"/>
    </row>
    <row r="41" spans="1:14" s="34" customFormat="1" ht="12" x14ac:dyDescent="0.2">
      <c r="C41" s="35"/>
      <c r="D41" s="33"/>
      <c r="E41" s="33"/>
      <c r="F41" s="33"/>
      <c r="G41" s="33"/>
      <c r="H41" s="37"/>
      <c r="I41" s="37"/>
      <c r="J41" s="37"/>
      <c r="K41" s="37"/>
      <c r="L41" s="33"/>
      <c r="M41" s="33"/>
      <c r="N41" s="33"/>
    </row>
    <row r="42" spans="1:14" s="34" customFormat="1" ht="12" x14ac:dyDescent="0.2">
      <c r="C42" s="35"/>
      <c r="D42" s="33"/>
      <c r="E42" s="33"/>
      <c r="F42" s="33"/>
      <c r="G42" s="33"/>
      <c r="H42" s="33"/>
      <c r="I42" s="33"/>
      <c r="J42" s="37"/>
      <c r="K42" s="37"/>
      <c r="L42" s="33"/>
      <c r="M42" s="33"/>
      <c r="N42" s="33"/>
    </row>
    <row r="43" spans="1:14" s="34" customFormat="1" x14ac:dyDescent="0.2">
      <c r="A43" s="35"/>
      <c r="B43" s="33"/>
      <c r="C43" s="33"/>
      <c r="D43" s="33"/>
      <c r="E43" s="33"/>
      <c r="F43" s="33"/>
      <c r="G43" s="33"/>
      <c r="H43" s="33"/>
      <c r="I43" s="33"/>
      <c r="J43" s="31"/>
      <c r="K43" s="33"/>
      <c r="L43" s="33"/>
      <c r="M43" s="33"/>
      <c r="N43" s="33"/>
    </row>
    <row r="44" spans="1:14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1"/>
  <sheetViews>
    <sheetView topLeftCell="A13" zoomScaleNormal="100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4.140625" style="3" customWidth="1"/>
    <col min="7" max="7" width="10.7109375" style="3" hidden="1" customWidth="1"/>
    <col min="8" max="8" width="13.140625" style="3" hidden="1" customWidth="1"/>
    <col min="9" max="9" width="32.140625" style="3" customWidth="1"/>
    <col min="10" max="10" width="14.7109375" style="3" customWidth="1"/>
    <col min="11" max="11" width="9.140625" style="3"/>
    <col min="12" max="12" width="11.5703125" style="3" customWidth="1"/>
    <col min="13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200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202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65.2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15.75" customHeight="1" x14ac:dyDescent="0.25">
      <c r="A18" s="17" t="s">
        <v>208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210</v>
      </c>
      <c r="B20" s="22"/>
      <c r="C20" s="22"/>
      <c r="D20" s="22"/>
      <c r="E20" s="22"/>
      <c r="F20" s="22"/>
      <c r="G20" s="22"/>
      <c r="H20" s="105"/>
      <c r="I20" s="53" t="s">
        <v>211</v>
      </c>
      <c r="J20" s="107">
        <f>(J17+J18)*20%</f>
        <v>179.87777777777779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212</v>
      </c>
      <c r="J21" s="107">
        <f>J20/29.3*56/12</f>
        <v>28.649475413980536</v>
      </c>
    </row>
    <row r="22" spans="1:10" x14ac:dyDescent="0.25">
      <c r="A22" s="17" t="s">
        <v>213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(J17+J18)*20%</f>
        <v>179.87777777777779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215</v>
      </c>
      <c r="J23" s="107">
        <f>J22/29.3*28/12</f>
        <v>14.324737706990268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1445.3660346353179</v>
      </c>
    </row>
    <row r="25" spans="1:10" x14ac:dyDescent="0.25">
      <c r="A25" s="14" t="s">
        <v>192</v>
      </c>
      <c r="B25" s="22"/>
      <c r="C25" s="22"/>
      <c r="D25" s="101">
        <v>0.15</v>
      </c>
      <c r="E25" s="22"/>
      <c r="F25" s="22"/>
      <c r="G25" s="22"/>
      <c r="H25" s="105"/>
      <c r="I25" s="109"/>
      <c r="J25" s="108">
        <f>SUM(J17:J23)*15%</f>
        <v>216.80490519529766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501.97562382884587</v>
      </c>
    </row>
    <row r="27" spans="1:10" x14ac:dyDescent="0.25">
      <c r="A27" s="14" t="s">
        <v>68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216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217</v>
      </c>
      <c r="B29" s="22"/>
      <c r="C29" s="22"/>
      <c r="D29" s="22"/>
      <c r="E29" s="22"/>
      <c r="F29" s="22"/>
      <c r="G29" s="22"/>
      <c r="H29" s="22"/>
      <c r="I29" s="22"/>
      <c r="J29" s="110"/>
    </row>
    <row r="30" spans="1:10" x14ac:dyDescent="0.25">
      <c r="A30" s="17" t="s">
        <v>95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70</v>
      </c>
      <c r="B31" s="22"/>
      <c r="C31" s="22"/>
      <c r="D31" s="22"/>
      <c r="E31" s="22"/>
      <c r="F31" s="22"/>
      <c r="G31" s="22"/>
      <c r="H31" s="22"/>
      <c r="I31" s="22"/>
      <c r="J31" s="111"/>
    </row>
    <row r="32" spans="1:10" x14ac:dyDescent="0.25">
      <c r="A32" s="17" t="s">
        <v>218</v>
      </c>
      <c r="B32" s="22"/>
      <c r="C32" s="22"/>
      <c r="D32" s="22"/>
      <c r="E32" s="22"/>
      <c r="F32" s="22"/>
      <c r="G32" s="22"/>
      <c r="H32" s="105"/>
      <c r="I32" s="105"/>
      <c r="J32" s="107">
        <f>19546.81/590*1/240*4</f>
        <v>0.55216977401129941</v>
      </c>
    </row>
    <row r="33" spans="1:14" x14ac:dyDescent="0.25">
      <c r="A33" s="17" t="s">
        <v>72</v>
      </c>
      <c r="B33" s="22"/>
      <c r="C33" s="22"/>
      <c r="D33" s="22"/>
      <c r="E33" s="22"/>
      <c r="F33" s="22"/>
      <c r="G33" s="22"/>
      <c r="H33" s="22"/>
      <c r="I33" s="22"/>
      <c r="J33" s="111"/>
    </row>
    <row r="34" spans="1:14" x14ac:dyDescent="0.25">
      <c r="A34" s="17" t="s">
        <v>219</v>
      </c>
      <c r="B34" s="22"/>
      <c r="C34" s="22"/>
      <c r="D34" s="22"/>
      <c r="E34" s="22"/>
      <c r="F34" s="22"/>
      <c r="G34" s="22"/>
      <c r="H34" s="105"/>
      <c r="I34" s="105"/>
      <c r="J34" s="107">
        <f>82653.13/590*1/240*4</f>
        <v>2.3348341807909607</v>
      </c>
    </row>
    <row r="35" spans="1:14" x14ac:dyDescent="0.25">
      <c r="A35" s="14" t="s">
        <v>115</v>
      </c>
      <c r="B35" s="22"/>
      <c r="C35" s="22"/>
      <c r="D35" s="22"/>
      <c r="E35" s="22"/>
      <c r="F35" s="22"/>
      <c r="G35" s="22"/>
      <c r="H35" s="22"/>
      <c r="I35" s="22"/>
      <c r="J35" s="111"/>
    </row>
    <row r="36" spans="1:14" x14ac:dyDescent="0.25">
      <c r="A36" s="68" t="s">
        <v>220</v>
      </c>
      <c r="B36" s="112"/>
      <c r="C36" s="112"/>
      <c r="D36" s="112"/>
      <c r="E36" s="112"/>
      <c r="F36" s="112"/>
      <c r="G36" s="112"/>
      <c r="H36" s="113"/>
      <c r="I36" s="113"/>
      <c r="J36" s="107">
        <v>13.93</v>
      </c>
    </row>
    <row r="37" spans="1:14" x14ac:dyDescent="0.25">
      <c r="A37" s="17" t="s">
        <v>221</v>
      </c>
      <c r="B37" s="22"/>
      <c r="C37" s="22"/>
      <c r="D37" s="22"/>
      <c r="E37" s="22"/>
      <c r="F37" s="22"/>
      <c r="G37" s="22"/>
      <c r="H37" s="105"/>
      <c r="I37" s="105"/>
      <c r="J37" s="111">
        <v>247.61</v>
      </c>
    </row>
    <row r="38" spans="1:14" x14ac:dyDescent="0.25">
      <c r="A38" s="80" t="s">
        <v>222</v>
      </c>
      <c r="B38" s="114"/>
      <c r="C38" s="114"/>
      <c r="D38" s="114"/>
      <c r="E38" s="114"/>
      <c r="F38" s="114"/>
      <c r="G38" s="114"/>
      <c r="H38" s="114"/>
      <c r="I38" s="114"/>
      <c r="J38" s="108">
        <f>SUM(J24:J37)</f>
        <v>2428.5735676142635</v>
      </c>
    </row>
    <row r="39" spans="1:14" x14ac:dyDescent="0.25">
      <c r="A39" s="115" t="s">
        <v>223</v>
      </c>
      <c r="B39" s="116"/>
      <c r="C39" s="116"/>
      <c r="D39" s="116"/>
      <c r="E39" s="116"/>
      <c r="F39" s="116"/>
      <c r="G39" s="116"/>
      <c r="H39" s="117"/>
      <c r="I39" s="118"/>
      <c r="J39" s="108">
        <f>J38*5%</f>
        <v>121.42867838071318</v>
      </c>
    </row>
    <row r="40" spans="1:14" x14ac:dyDescent="0.25">
      <c r="A40" s="27" t="s">
        <v>224</v>
      </c>
      <c r="B40" s="27"/>
      <c r="C40" s="27"/>
      <c r="D40" s="27"/>
      <c r="E40" s="27"/>
      <c r="F40" s="27"/>
      <c r="G40" s="27"/>
      <c r="H40" s="53"/>
      <c r="I40" s="53"/>
      <c r="J40" s="108">
        <f>J38+J39</f>
        <v>2550.0022459949769</v>
      </c>
    </row>
    <row r="41" spans="1:14" x14ac:dyDescent="0.25">
      <c r="A41" s="27" t="s">
        <v>225</v>
      </c>
      <c r="B41" s="27"/>
      <c r="C41" s="27"/>
      <c r="D41" s="27"/>
      <c r="E41" s="27"/>
      <c r="F41" s="27"/>
      <c r="G41" s="27"/>
      <c r="H41" s="53"/>
      <c r="I41" s="53"/>
      <c r="J41" s="108">
        <f>J40</f>
        <v>2550.0022459949769</v>
      </c>
      <c r="M41" s="119"/>
    </row>
    <row r="42" spans="1:14" x14ac:dyDescent="0.25">
      <c r="A42" s="29"/>
      <c r="J42" s="120"/>
    </row>
    <row r="43" spans="1:14" x14ac:dyDescent="0.25">
      <c r="A43" s="29"/>
      <c r="J43" s="120"/>
    </row>
    <row r="44" spans="1:14" x14ac:dyDescent="0.25">
      <c r="A44" s="30" t="s">
        <v>36</v>
      </c>
      <c r="B44" s="30"/>
      <c r="C44" s="30"/>
      <c r="D44" s="30"/>
      <c r="E44" s="30" t="s">
        <v>37</v>
      </c>
      <c r="F44" s="30"/>
      <c r="G44" s="30" t="s">
        <v>81</v>
      </c>
      <c r="H44" s="30"/>
      <c r="I44" s="30" t="s">
        <v>38</v>
      </c>
      <c r="J44" s="120"/>
      <c r="K44" s="30"/>
      <c r="L44" s="30"/>
      <c r="M44" s="30"/>
      <c r="N44" s="30"/>
    </row>
    <row r="45" spans="1:14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s="121" customForma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x14ac:dyDescent="0.25">
      <c r="A47" s="122"/>
      <c r="C47" s="35"/>
      <c r="D47" s="35"/>
      <c r="E47" s="35"/>
      <c r="F47" s="35"/>
      <c r="G47" s="35"/>
      <c r="H47" s="35"/>
      <c r="I47" s="35"/>
      <c r="J47" s="30"/>
      <c r="K47" s="35"/>
      <c r="L47" s="35"/>
      <c r="M47" s="35"/>
      <c r="N47" s="35"/>
    </row>
    <row r="48" spans="1:14" s="121" customFormat="1" ht="12.75" x14ac:dyDescent="0.2">
      <c r="C48" s="35"/>
      <c r="D48" s="35"/>
      <c r="E48" s="35"/>
      <c r="F48" s="35"/>
      <c r="G48" s="35"/>
      <c r="H48" s="123" t="s">
        <v>226</v>
      </c>
      <c r="I48" s="123"/>
      <c r="J48" s="123"/>
      <c r="K48" s="35"/>
      <c r="L48" s="35"/>
      <c r="M48" s="35"/>
      <c r="N48" s="35"/>
    </row>
    <row r="49" spans="1:14" s="121" customFormat="1" ht="12.75" x14ac:dyDescent="0.2">
      <c r="C49" s="35"/>
      <c r="D49" s="35"/>
      <c r="E49" s="35"/>
      <c r="F49" s="35"/>
      <c r="G49" s="35"/>
      <c r="H49" s="123"/>
      <c r="I49" s="123"/>
      <c r="J49" s="123"/>
      <c r="K49" s="35"/>
      <c r="L49" s="35"/>
      <c r="M49" s="35"/>
      <c r="N49" s="35"/>
    </row>
    <row r="50" spans="1:14" s="121" customForma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0"/>
      <c r="K50" s="35"/>
      <c r="L50" s="35"/>
      <c r="M50" s="35"/>
      <c r="N50" s="35"/>
    </row>
    <row r="51" spans="1:14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</sheetData>
  <pageMargins left="0.75" right="0.75" top="1" bottom="1" header="0.5" footer="0.5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4"/>
  <sheetViews>
    <sheetView topLeftCell="A13" workbookViewId="0">
      <selection activeCell="L34" sqref="L34:M34"/>
    </sheetView>
  </sheetViews>
  <sheetFormatPr defaultRowHeight="14.25" x14ac:dyDescent="0.2"/>
  <cols>
    <col min="1" max="1" width="9.140625" style="5"/>
    <col min="2" max="2" width="2.7109375" style="5" customWidth="1"/>
    <col min="3" max="5" width="9.140625" style="5"/>
    <col min="6" max="6" width="0.28515625" style="5" customWidth="1"/>
    <col min="7" max="7" width="2.140625" style="5" hidden="1" customWidth="1"/>
    <col min="8" max="8" width="13.7109375" style="5" hidden="1" customWidth="1"/>
    <col min="9" max="9" width="33.28515625" style="5" customWidth="1"/>
    <col min="10" max="10" width="13.28515625" style="5" customWidth="1"/>
    <col min="11" max="16384" width="9.140625" style="5"/>
  </cols>
  <sheetData>
    <row r="1" spans="1:10" ht="15" customHeight="1" x14ac:dyDescent="0.25">
      <c r="A1" s="4"/>
      <c r="F1" s="3" t="s">
        <v>0</v>
      </c>
      <c r="G1" s="4"/>
      <c r="H1" s="3"/>
      <c r="I1" s="3"/>
      <c r="J1" s="3"/>
    </row>
    <row r="2" spans="1:10" ht="15" customHeight="1" x14ac:dyDescent="0.25">
      <c r="F2" s="3" t="s">
        <v>52</v>
      </c>
      <c r="G2" s="3"/>
      <c r="H2" s="3"/>
      <c r="I2" s="3"/>
      <c r="J2" s="3"/>
    </row>
    <row r="3" spans="1:10" ht="15" customHeight="1" x14ac:dyDescent="0.25">
      <c r="A3" s="4"/>
      <c r="F3" s="3" t="s">
        <v>3</v>
      </c>
      <c r="G3" s="3"/>
      <c r="H3" s="3"/>
      <c r="I3" s="3"/>
      <c r="J3" s="3"/>
    </row>
    <row r="4" spans="1:10" ht="15" customHeight="1" x14ac:dyDescent="0.25">
      <c r="A4" s="4"/>
      <c r="F4" s="3" t="s">
        <v>169</v>
      </c>
      <c r="G4" s="3"/>
      <c r="H4" s="3"/>
      <c r="I4" s="3" t="s">
        <v>5</v>
      </c>
      <c r="J4" s="3"/>
    </row>
    <row r="5" spans="1:10" ht="15" x14ac:dyDescent="0.25">
      <c r="A5" s="43"/>
      <c r="D5" s="44" t="s">
        <v>6</v>
      </c>
      <c r="E5" s="45"/>
      <c r="G5" s="5" t="s">
        <v>5</v>
      </c>
    </row>
    <row r="6" spans="1:10" ht="15" x14ac:dyDescent="0.25">
      <c r="B6" s="43"/>
      <c r="E6" s="44" t="s">
        <v>119</v>
      </c>
    </row>
    <row r="7" spans="1:10" x14ac:dyDescent="0.2">
      <c r="E7" s="44" t="s">
        <v>170</v>
      </c>
    </row>
    <row r="8" spans="1:10" x14ac:dyDescent="0.2">
      <c r="D8" s="44" t="s">
        <v>105</v>
      </c>
    </row>
    <row r="9" spans="1:10" ht="15" x14ac:dyDescent="0.25">
      <c r="A9" s="46" t="s">
        <v>157</v>
      </c>
      <c r="C9" s="47"/>
    </row>
    <row r="10" spans="1:10" ht="15" x14ac:dyDescent="0.25">
      <c r="D10" s="48" t="s">
        <v>122</v>
      </c>
    </row>
    <row r="12" spans="1:10" x14ac:dyDescent="0.2">
      <c r="A12" s="14" t="s">
        <v>12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47.25" customHeight="1" x14ac:dyDescent="0.25">
      <c r="A13" s="17" t="s">
        <v>107</v>
      </c>
      <c r="B13" s="15"/>
      <c r="C13" s="15"/>
      <c r="D13" s="15"/>
      <c r="E13" s="15"/>
      <c r="F13" s="15"/>
      <c r="G13" s="15"/>
      <c r="H13" s="16"/>
      <c r="I13" s="18" t="s">
        <v>171</v>
      </c>
      <c r="J13" s="26">
        <f>14389/72*4*1.1</f>
        <v>879.3277777777779</v>
      </c>
    </row>
    <row r="14" spans="1:10" ht="15" x14ac:dyDescent="0.25">
      <c r="A14" s="17" t="s">
        <v>15</v>
      </c>
      <c r="B14" s="15"/>
      <c r="C14" s="15"/>
      <c r="D14" s="15"/>
      <c r="E14" s="15"/>
      <c r="F14" s="15"/>
      <c r="G14" s="15"/>
      <c r="H14" s="16"/>
      <c r="I14" s="18"/>
      <c r="J14" s="26">
        <v>500</v>
      </c>
    </row>
    <row r="15" spans="1:10" ht="15" x14ac:dyDescent="0.25">
      <c r="A15" s="17" t="s">
        <v>16</v>
      </c>
      <c r="B15" s="15"/>
      <c r="C15" s="15"/>
      <c r="D15" s="15"/>
      <c r="E15" s="15"/>
      <c r="F15" s="15"/>
      <c r="G15" s="15"/>
      <c r="H15" s="16"/>
      <c r="I15" s="20" t="s">
        <v>124</v>
      </c>
      <c r="J15" s="26">
        <f>(J13+J14)/29.3*56/12</f>
        <v>219.68815573252436</v>
      </c>
    </row>
    <row r="16" spans="1:10" ht="15" x14ac:dyDescent="0.25">
      <c r="A16" s="17" t="s">
        <v>62</v>
      </c>
      <c r="B16" s="15"/>
      <c r="C16" s="15"/>
      <c r="D16" s="15"/>
      <c r="E16" s="15"/>
      <c r="F16" s="15"/>
      <c r="G16" s="15"/>
      <c r="H16" s="16"/>
      <c r="I16" s="20" t="s">
        <v>172</v>
      </c>
      <c r="J16" s="26">
        <f>(J13+J14)*0.3</f>
        <v>413.7983333333334</v>
      </c>
    </row>
    <row r="17" spans="1:10" ht="15" x14ac:dyDescent="0.25">
      <c r="A17" s="17" t="s">
        <v>20</v>
      </c>
      <c r="B17" s="15"/>
      <c r="C17" s="15"/>
      <c r="D17" s="15"/>
      <c r="E17" s="15"/>
      <c r="F17" s="15"/>
      <c r="G17" s="15"/>
      <c r="H17" s="16"/>
      <c r="I17" s="20" t="s">
        <v>126</v>
      </c>
      <c r="J17" s="26">
        <f>J16/29.3*56/12</f>
        <v>65.906446719757312</v>
      </c>
    </row>
    <row r="18" spans="1:10" ht="15" x14ac:dyDescent="0.25">
      <c r="A18" s="17" t="s">
        <v>173</v>
      </c>
      <c r="B18" s="15"/>
      <c r="C18" s="15"/>
      <c r="D18" s="15"/>
      <c r="E18" s="15"/>
      <c r="F18" s="15"/>
      <c r="G18" s="15"/>
      <c r="H18" s="16"/>
      <c r="I18" s="20" t="s">
        <v>172</v>
      </c>
      <c r="J18" s="26">
        <f>J16</f>
        <v>413.7983333333334</v>
      </c>
    </row>
    <row r="19" spans="1:10" ht="15" x14ac:dyDescent="0.25">
      <c r="A19" s="17" t="s">
        <v>174</v>
      </c>
      <c r="B19" s="15"/>
      <c r="C19" s="15"/>
      <c r="D19" s="15"/>
      <c r="E19" s="15"/>
      <c r="F19" s="15"/>
      <c r="G19" s="15"/>
      <c r="H19" s="16"/>
      <c r="I19" s="20" t="s">
        <v>127</v>
      </c>
      <c r="J19" s="26">
        <f>J18/29.3*28/12</f>
        <v>32.953223359878656</v>
      </c>
    </row>
    <row r="20" spans="1:10" ht="15" x14ac:dyDescent="0.25">
      <c r="A20" s="14" t="s">
        <v>26</v>
      </c>
      <c r="B20" s="21"/>
      <c r="C20" s="21"/>
      <c r="D20" s="21"/>
      <c r="E20" s="15"/>
      <c r="F20" s="15"/>
      <c r="G20" s="22"/>
      <c r="H20" s="16"/>
      <c r="I20" s="16"/>
      <c r="J20" s="24">
        <f>SUM(J13:J19)</f>
        <v>2525.4722702566055</v>
      </c>
    </row>
    <row r="21" spans="1:10" ht="15" x14ac:dyDescent="0.25">
      <c r="A21" s="14" t="s">
        <v>27</v>
      </c>
      <c r="B21" s="21"/>
      <c r="C21" s="21"/>
      <c r="D21" s="21"/>
      <c r="E21" s="15"/>
      <c r="F21" s="15"/>
      <c r="G21" s="22"/>
      <c r="H21" s="16"/>
      <c r="I21" s="16"/>
      <c r="J21" s="24">
        <f>SUM(J13:J19)*15%</f>
        <v>378.82084053849081</v>
      </c>
    </row>
    <row r="22" spans="1:10" ht="15" x14ac:dyDescent="0.25">
      <c r="A22" s="14" t="s">
        <v>28</v>
      </c>
      <c r="B22" s="15"/>
      <c r="C22" s="15"/>
      <c r="D22" s="15"/>
      <c r="E22" s="15"/>
      <c r="F22" s="15"/>
      <c r="G22" s="15"/>
      <c r="H22" s="16"/>
      <c r="I22" s="16"/>
      <c r="J22" s="24">
        <f>(J20+J21)*30.2%</f>
        <v>877.096519460119</v>
      </c>
    </row>
    <row r="23" spans="1:10" ht="15" x14ac:dyDescent="0.25">
      <c r="A23" s="17" t="s">
        <v>69</v>
      </c>
      <c r="B23" s="15"/>
      <c r="C23" s="15"/>
      <c r="D23" s="15"/>
      <c r="E23" s="15"/>
      <c r="F23" s="15"/>
      <c r="G23" s="15"/>
      <c r="H23" s="15"/>
      <c r="I23" s="15"/>
      <c r="J23" s="40"/>
    </row>
    <row r="24" spans="1:10" ht="15" x14ac:dyDescent="0.25">
      <c r="A24" s="17" t="s">
        <v>128</v>
      </c>
      <c r="B24" s="15"/>
      <c r="C24" s="15"/>
      <c r="D24" s="15"/>
      <c r="E24" s="15"/>
      <c r="F24" s="15"/>
      <c r="G24" s="15"/>
      <c r="H24" s="15"/>
      <c r="I24" s="15"/>
      <c r="J24" s="40"/>
    </row>
    <row r="25" spans="1:10" ht="15" x14ac:dyDescent="0.25">
      <c r="A25" s="17" t="s">
        <v>95</v>
      </c>
      <c r="B25" s="15"/>
      <c r="C25" s="15"/>
      <c r="D25" s="15"/>
      <c r="E25" s="15"/>
      <c r="F25" s="15"/>
      <c r="G25" s="15"/>
      <c r="H25" s="15"/>
      <c r="I25" s="15"/>
      <c r="J25" s="40"/>
    </row>
    <row r="26" spans="1:10" ht="15" x14ac:dyDescent="0.25">
      <c r="A26" s="17" t="s">
        <v>29</v>
      </c>
      <c r="B26" s="15"/>
      <c r="C26" s="15"/>
      <c r="D26" s="15"/>
      <c r="E26" s="15"/>
      <c r="F26" s="15"/>
      <c r="G26" s="15"/>
      <c r="H26" s="15"/>
      <c r="I26" s="15"/>
      <c r="J26" s="40"/>
    </row>
    <row r="27" spans="1:10" ht="15" x14ac:dyDescent="0.25">
      <c r="A27" s="68" t="s">
        <v>129</v>
      </c>
      <c r="B27" s="69"/>
      <c r="C27" s="69"/>
      <c r="D27" s="69"/>
      <c r="E27" s="69"/>
      <c r="F27" s="69"/>
      <c r="G27" s="69"/>
      <c r="H27" s="70"/>
      <c r="I27" s="49"/>
      <c r="J27" s="50">
        <f>19546.81/590*5/240*4</f>
        <v>2.7608488700564973</v>
      </c>
    </row>
    <row r="28" spans="1:10" ht="15" x14ac:dyDescent="0.25">
      <c r="A28" s="17" t="s">
        <v>72</v>
      </c>
      <c r="B28" s="15"/>
      <c r="C28" s="15"/>
      <c r="D28" s="15"/>
      <c r="E28" s="15"/>
      <c r="F28" s="15"/>
      <c r="G28" s="15"/>
      <c r="H28" s="15"/>
      <c r="I28" s="15"/>
      <c r="J28" s="40"/>
    </row>
    <row r="29" spans="1:10" ht="15" x14ac:dyDescent="0.25">
      <c r="A29" s="68" t="s">
        <v>175</v>
      </c>
      <c r="B29" s="69"/>
      <c r="C29" s="69"/>
      <c r="D29" s="69"/>
      <c r="E29" s="69"/>
      <c r="F29" s="69"/>
      <c r="G29" s="69"/>
      <c r="H29" s="70"/>
      <c r="I29" s="49"/>
      <c r="J29" s="50">
        <f>80836/590*5/240*4</f>
        <v>11.417514124293785</v>
      </c>
    </row>
    <row r="30" spans="1:10" ht="15" x14ac:dyDescent="0.25">
      <c r="A30" s="17" t="s">
        <v>176</v>
      </c>
      <c r="B30" s="15"/>
      <c r="C30" s="15"/>
      <c r="D30" s="15"/>
      <c r="E30" s="15"/>
      <c r="F30" s="15"/>
      <c r="G30" s="15"/>
      <c r="H30" s="15"/>
      <c r="I30" s="15"/>
      <c r="J30" s="40">
        <v>2308.61</v>
      </c>
    </row>
    <row r="31" spans="1:10" ht="15" x14ac:dyDescent="0.25">
      <c r="A31" s="14" t="s">
        <v>77</v>
      </c>
      <c r="B31" s="15"/>
      <c r="C31" s="15"/>
      <c r="D31" s="15"/>
      <c r="E31" s="15"/>
      <c r="F31" s="15"/>
      <c r="G31" s="15"/>
      <c r="H31" s="16"/>
      <c r="I31" s="16"/>
      <c r="J31" s="24">
        <f>J20+J21+J22+J27+J29+J30</f>
        <v>6104.1779932495656</v>
      </c>
    </row>
    <row r="32" spans="1:10" ht="15" x14ac:dyDescent="0.25">
      <c r="A32" s="71" t="s">
        <v>177</v>
      </c>
      <c r="B32" s="72"/>
      <c r="C32" s="72"/>
      <c r="D32" s="72"/>
      <c r="E32" s="72"/>
      <c r="F32" s="72"/>
      <c r="G32" s="72"/>
      <c r="H32" s="72"/>
      <c r="I32" s="72"/>
      <c r="J32" s="24">
        <f>J31*0.2-0.01</f>
        <v>1220.8255986499132</v>
      </c>
    </row>
    <row r="33" spans="1:14" ht="15" x14ac:dyDescent="0.25">
      <c r="A33" s="14" t="s">
        <v>132</v>
      </c>
      <c r="B33" s="21"/>
      <c r="C33" s="21"/>
      <c r="D33" s="21"/>
      <c r="E33" s="21" t="s">
        <v>178</v>
      </c>
      <c r="F33" s="15"/>
      <c r="G33" s="73"/>
      <c r="H33" s="16"/>
      <c r="I33" s="16"/>
      <c r="J33" s="74">
        <f>J31+J32</f>
        <v>7325.003591899479</v>
      </c>
    </row>
    <row r="34" spans="1:14" ht="15" x14ac:dyDescent="0.25">
      <c r="A34" s="80" t="s">
        <v>134</v>
      </c>
      <c r="B34" s="81"/>
      <c r="C34" s="81"/>
      <c r="D34" s="81"/>
      <c r="E34" s="81"/>
      <c r="F34" s="81"/>
      <c r="G34" s="81"/>
      <c r="H34" s="82"/>
      <c r="I34" s="82"/>
      <c r="J34" s="24">
        <f>J33/5</f>
        <v>1465.0007183798957</v>
      </c>
      <c r="K34" s="28"/>
      <c r="M34" s="28"/>
    </row>
    <row r="35" spans="1:14" ht="15" x14ac:dyDescent="0.25">
      <c r="A35" s="29"/>
    </row>
    <row r="36" spans="1:14" ht="15" x14ac:dyDescent="0.25">
      <c r="A36" s="29"/>
    </row>
    <row r="37" spans="1:14" ht="15" x14ac:dyDescent="0.25">
      <c r="A37" s="30" t="s">
        <v>36</v>
      </c>
      <c r="B37" s="31"/>
      <c r="C37" s="31"/>
      <c r="D37" s="31"/>
      <c r="E37" s="31" t="s">
        <v>37</v>
      </c>
      <c r="F37" s="31"/>
      <c r="G37" s="30" t="s">
        <v>81</v>
      </c>
      <c r="H37" s="31"/>
      <c r="I37" s="32" t="s">
        <v>38</v>
      </c>
      <c r="J37" s="31"/>
      <c r="K37" s="31"/>
      <c r="L37" s="31"/>
      <c r="M37" s="31"/>
      <c r="N37" s="31"/>
    </row>
    <row r="38" spans="1:14" ht="15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s="34" customForma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1"/>
      <c r="K39" s="33"/>
      <c r="L39" s="33"/>
      <c r="M39" s="33"/>
      <c r="N39" s="33"/>
    </row>
    <row r="40" spans="1:14" s="34" customFormat="1" x14ac:dyDescent="0.2">
      <c r="A40" s="56"/>
      <c r="C40" s="35"/>
      <c r="D40" s="33"/>
      <c r="E40" s="33"/>
      <c r="F40" s="33"/>
      <c r="G40" s="33"/>
      <c r="H40" s="37"/>
      <c r="I40" s="32"/>
      <c r="J40" s="37"/>
      <c r="K40" s="37"/>
      <c r="L40" s="33"/>
      <c r="M40" s="33"/>
      <c r="N40" s="33"/>
    </row>
    <row r="41" spans="1:14" s="34" customFormat="1" ht="12" x14ac:dyDescent="0.2">
      <c r="C41" s="35"/>
      <c r="D41" s="33"/>
      <c r="E41" s="33"/>
      <c r="F41" s="33"/>
      <c r="G41" s="33"/>
      <c r="H41" s="37"/>
      <c r="I41" s="37"/>
      <c r="J41" s="37"/>
      <c r="K41" s="33"/>
      <c r="L41" s="33"/>
      <c r="M41" s="33"/>
      <c r="N41" s="33"/>
    </row>
    <row r="42" spans="1:14" s="34" customFormat="1" x14ac:dyDescent="0.2">
      <c r="C42" s="5"/>
      <c r="D42" s="5"/>
      <c r="E42" s="5"/>
      <c r="F42" s="5"/>
      <c r="G42" s="5"/>
      <c r="H42" s="5"/>
      <c r="I42" s="5"/>
      <c r="J42" s="5"/>
      <c r="K42" s="33"/>
      <c r="L42" s="33"/>
      <c r="M42" s="33"/>
      <c r="N42" s="33"/>
    </row>
    <row r="43" spans="1:14" s="34" customFormat="1" x14ac:dyDescent="0.2">
      <c r="A43" s="35"/>
      <c r="B43" s="33"/>
      <c r="C43" s="33"/>
      <c r="D43" s="33"/>
      <c r="E43" s="33"/>
      <c r="F43" s="33"/>
      <c r="G43" s="33"/>
      <c r="H43" s="33"/>
      <c r="I43" s="33"/>
      <c r="J43" s="31"/>
      <c r="K43" s="33"/>
      <c r="L43" s="33"/>
      <c r="M43" s="33"/>
      <c r="N43" s="33"/>
    </row>
    <row r="44" spans="1:14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0"/>
  <sheetViews>
    <sheetView topLeftCell="A10" zoomScaleNormal="100" workbookViewId="0">
      <selection activeCell="A38" sqref="A38:I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4.42578125" style="3" customWidth="1"/>
    <col min="7" max="7" width="0.140625" style="3" hidden="1" customWidth="1"/>
    <col min="8" max="8" width="6" style="3" hidden="1" customWidth="1"/>
    <col min="9" max="9" width="31.5703125" style="3" customWidth="1"/>
    <col min="10" max="10" width="9.57031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227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228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43.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24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0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19546.81/590*1/240*4</f>
        <v>0.55216977401129941</v>
      </c>
    </row>
    <row r="32" spans="1:10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4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4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4" x14ac:dyDescent="0.25">
      <c r="A35" s="68" t="s">
        <v>232</v>
      </c>
      <c r="B35" s="112"/>
      <c r="C35" s="112"/>
      <c r="D35" s="112"/>
      <c r="E35" s="112"/>
      <c r="F35" s="112"/>
      <c r="G35" s="112"/>
      <c r="H35" s="113"/>
      <c r="I35" s="113"/>
      <c r="J35" s="107">
        <v>26.49</v>
      </c>
    </row>
    <row r="36" spans="1:14" x14ac:dyDescent="0.25">
      <c r="A36" s="17" t="s">
        <v>221</v>
      </c>
      <c r="B36" s="22"/>
      <c r="C36" s="22"/>
      <c r="D36" s="22"/>
      <c r="E36" s="22"/>
      <c r="F36" s="22"/>
      <c r="G36" s="22"/>
      <c r="H36" s="105"/>
      <c r="I36" s="105"/>
      <c r="J36" s="111">
        <v>536.6</v>
      </c>
    </row>
    <row r="37" spans="1:14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14"/>
      <c r="J37" s="108">
        <f>SUM(J24:J36)</f>
        <v>2428.568602000797</v>
      </c>
      <c r="L37" s="119"/>
    </row>
    <row r="38" spans="1:14" x14ac:dyDescent="0.25">
      <c r="A38" s="125" t="s">
        <v>233</v>
      </c>
      <c r="B38" s="126"/>
      <c r="C38" s="126"/>
      <c r="D38" s="126"/>
      <c r="E38" s="126"/>
      <c r="F38" s="126"/>
      <c r="G38" s="126"/>
      <c r="H38" s="126"/>
      <c r="I38" s="127"/>
      <c r="J38" s="108">
        <f>J37*5%</f>
        <v>121.42843010003986</v>
      </c>
    </row>
    <row r="39" spans="1:14" x14ac:dyDescent="0.25">
      <c r="A39" s="27" t="s">
        <v>234</v>
      </c>
      <c r="B39" s="27"/>
      <c r="C39" s="27"/>
      <c r="D39" s="27"/>
      <c r="E39" s="27"/>
      <c r="F39" s="27"/>
      <c r="G39" s="27"/>
      <c r="H39" s="53"/>
      <c r="I39" s="53"/>
      <c r="J39" s="108">
        <f>SUM(J37:J38)</f>
        <v>2549.9970321008368</v>
      </c>
      <c r="L39" s="119"/>
    </row>
    <row r="40" spans="1:14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53"/>
      <c r="J40" s="108">
        <f>J39</f>
        <v>2549.9970321008368</v>
      </c>
      <c r="L40" s="119"/>
      <c r="M40" s="119"/>
    </row>
    <row r="41" spans="1:14" x14ac:dyDescent="0.25">
      <c r="A41" s="29"/>
    </row>
    <row r="42" spans="1:14" x14ac:dyDescent="0.25">
      <c r="A42" s="29"/>
    </row>
    <row r="43" spans="1:14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120"/>
      <c r="K43" s="30"/>
      <c r="L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x14ac:dyDescent="0.25">
      <c r="A46" s="122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 t="s">
        <v>226</v>
      </c>
      <c r="I47" s="123"/>
      <c r="J47" s="123"/>
      <c r="K47" s="35"/>
      <c r="L47" s="35"/>
      <c r="M47" s="35"/>
      <c r="N47" s="35"/>
    </row>
    <row r="48" spans="1:14" s="121" customFormat="1" ht="12.75" x14ac:dyDescent="0.2">
      <c r="C48" s="35"/>
      <c r="D48" s="35"/>
      <c r="E48" s="35"/>
      <c r="F48" s="35"/>
      <c r="G48" s="35"/>
      <c r="H48" s="123"/>
      <c r="I48" s="123"/>
      <c r="J48" s="123"/>
      <c r="K48" s="35"/>
      <c r="L48" s="35"/>
      <c r="M48" s="35"/>
      <c r="N48" s="35"/>
    </row>
    <row r="49" spans="1:14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0"/>
      <c r="K49" s="35"/>
      <c r="L49" s="35"/>
      <c r="M49" s="35"/>
      <c r="N49" s="35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</sheetData>
  <mergeCells count="1">
    <mergeCell ref="A38:I38"/>
  </mergeCells>
  <pageMargins left="0.75" right="0.75" top="1" bottom="1" header="0.5" footer="0.5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49"/>
  <sheetViews>
    <sheetView topLeftCell="A19" zoomScaleNormal="100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2.28515625" style="3" customWidth="1"/>
    <col min="7" max="7" width="10.7109375" style="3" hidden="1" customWidth="1"/>
    <col min="8" max="8" width="16.28515625" style="3" hidden="1" customWidth="1"/>
    <col min="9" max="9" width="34.85546875" style="3" customWidth="1"/>
    <col min="10" max="10" width="8.57031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236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237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ht="19.5" customHeight="1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1" ht="27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1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1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1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1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1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  <c r="K23" s="128"/>
    </row>
    <row r="24" spans="1:11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1" x14ac:dyDescent="0.25">
      <c r="A25" s="14" t="s">
        <v>192</v>
      </c>
      <c r="B25" s="22"/>
      <c r="C25" s="22"/>
      <c r="D25" s="101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1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1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1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1" x14ac:dyDescent="0.25">
      <c r="A29" s="17" t="s">
        <v>70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1" x14ac:dyDescent="0.25">
      <c r="A30" s="17" t="s">
        <v>218</v>
      </c>
      <c r="B30" s="22"/>
      <c r="C30" s="22"/>
      <c r="D30" s="22"/>
      <c r="E30" s="22"/>
      <c r="F30" s="22"/>
      <c r="G30" s="22"/>
      <c r="H30" s="105"/>
      <c r="I30" s="105"/>
      <c r="J30" s="107">
        <f>19546.81/590*1/240*4</f>
        <v>0.55216977401129941</v>
      </c>
    </row>
    <row r="31" spans="1:11" x14ac:dyDescent="0.25">
      <c r="A31" s="17" t="s">
        <v>72</v>
      </c>
      <c r="B31" s="22"/>
      <c r="C31" s="22"/>
      <c r="D31" s="22"/>
      <c r="E31" s="22"/>
      <c r="F31" s="22"/>
      <c r="G31" s="22"/>
      <c r="H31" s="22"/>
      <c r="I31" s="22"/>
      <c r="J31" s="111"/>
    </row>
    <row r="32" spans="1:11" x14ac:dyDescent="0.25">
      <c r="A32" s="17" t="s">
        <v>231</v>
      </c>
      <c r="B32" s="22"/>
      <c r="C32" s="22"/>
      <c r="D32" s="22"/>
      <c r="E32" s="22"/>
      <c r="F32" s="22"/>
      <c r="G32" s="22"/>
      <c r="H32" s="105"/>
      <c r="I32" s="105"/>
      <c r="J32" s="107">
        <f>80836.25/590*1/240*4</f>
        <v>2.2835098870056498</v>
      </c>
    </row>
    <row r="33" spans="1:14" x14ac:dyDescent="0.25">
      <c r="A33" s="14" t="s">
        <v>115</v>
      </c>
      <c r="B33" s="22"/>
      <c r="C33" s="22"/>
      <c r="D33" s="22"/>
      <c r="E33" s="22"/>
      <c r="F33" s="22"/>
      <c r="G33" s="22"/>
      <c r="H33" s="22"/>
      <c r="I33" s="22"/>
      <c r="J33" s="111"/>
    </row>
    <row r="34" spans="1:14" x14ac:dyDescent="0.25">
      <c r="A34" s="68" t="s">
        <v>238</v>
      </c>
      <c r="B34" s="112"/>
      <c r="C34" s="112"/>
      <c r="D34" s="112"/>
      <c r="E34" s="112"/>
      <c r="F34" s="112"/>
      <c r="G34" s="112"/>
      <c r="H34" s="113"/>
      <c r="I34" s="113"/>
      <c r="J34" s="107">
        <v>8.74</v>
      </c>
    </row>
    <row r="35" spans="1:14" x14ac:dyDescent="0.25">
      <c r="A35" s="17" t="s">
        <v>221</v>
      </c>
      <c r="B35" s="22"/>
      <c r="C35" s="22"/>
      <c r="D35" s="22"/>
      <c r="E35" s="22"/>
      <c r="F35" s="22"/>
      <c r="G35" s="22"/>
      <c r="H35" s="105"/>
      <c r="I35" s="105"/>
      <c r="J35" s="111">
        <v>554.35</v>
      </c>
    </row>
    <row r="36" spans="1:14" x14ac:dyDescent="0.25">
      <c r="A36" s="80" t="s">
        <v>222</v>
      </c>
      <c r="B36" s="114"/>
      <c r="C36" s="114"/>
      <c r="D36" s="114"/>
      <c r="E36" s="114"/>
      <c r="F36" s="114"/>
      <c r="G36" s="114"/>
      <c r="H36" s="114"/>
      <c r="I36" s="114"/>
      <c r="J36" s="108">
        <f>SUM(J24:J35)</f>
        <v>2428.568602000797</v>
      </c>
    </row>
    <row r="37" spans="1:14" x14ac:dyDescent="0.25">
      <c r="A37" s="115" t="s">
        <v>223</v>
      </c>
      <c r="B37" s="116"/>
      <c r="C37" s="116"/>
      <c r="D37" s="116"/>
      <c r="E37" s="116"/>
      <c r="F37" s="116"/>
      <c r="G37" s="116"/>
      <c r="H37" s="117"/>
      <c r="I37" s="118"/>
      <c r="J37" s="108">
        <f>J36*5%</f>
        <v>121.42843010003986</v>
      </c>
    </row>
    <row r="38" spans="1:14" x14ac:dyDescent="0.25">
      <c r="A38" s="27" t="s">
        <v>239</v>
      </c>
      <c r="B38" s="27"/>
      <c r="C38" s="27"/>
      <c r="D38" s="27"/>
      <c r="E38" s="27"/>
      <c r="F38" s="27"/>
      <c r="G38" s="27"/>
      <c r="H38" s="53"/>
      <c r="I38" s="53"/>
      <c r="J38" s="108">
        <f>J36+J37</f>
        <v>2549.9970321008368</v>
      </c>
    </row>
    <row r="39" spans="1:14" x14ac:dyDescent="0.25">
      <c r="A39" s="27" t="s">
        <v>235</v>
      </c>
      <c r="B39" s="27"/>
      <c r="C39" s="27"/>
      <c r="D39" s="27"/>
      <c r="E39" s="27"/>
      <c r="F39" s="27"/>
      <c r="G39" s="27"/>
      <c r="H39" s="53"/>
      <c r="I39" s="53"/>
      <c r="J39" s="108">
        <f>J38/1</f>
        <v>2549.9970321008368</v>
      </c>
      <c r="M39" s="119"/>
    </row>
    <row r="40" spans="1:14" x14ac:dyDescent="0.25">
      <c r="A40" s="29"/>
    </row>
    <row r="41" spans="1:14" x14ac:dyDescent="0.25">
      <c r="A41" s="29"/>
    </row>
    <row r="42" spans="1:14" x14ac:dyDescent="0.25">
      <c r="A42" s="30" t="s">
        <v>36</v>
      </c>
      <c r="B42" s="30"/>
      <c r="C42" s="30"/>
      <c r="D42" s="30"/>
      <c r="E42" s="30" t="s">
        <v>37</v>
      </c>
      <c r="F42" s="30"/>
      <c r="G42" s="30" t="s">
        <v>81</v>
      </c>
      <c r="H42" s="30"/>
      <c r="I42" s="30" t="s">
        <v>38</v>
      </c>
      <c r="J42" s="120"/>
      <c r="K42" s="30"/>
      <c r="L42" s="30"/>
      <c r="M42" s="30"/>
      <c r="N42" s="30"/>
    </row>
    <row r="43" spans="1:14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s="121" customForma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0"/>
      <c r="K44" s="35"/>
      <c r="L44" s="35"/>
      <c r="M44" s="35"/>
      <c r="N44" s="35"/>
    </row>
    <row r="45" spans="1:14" s="121" customFormat="1" x14ac:dyDescent="0.25">
      <c r="A45" s="122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ht="12.75" x14ac:dyDescent="0.2">
      <c r="C46" s="35"/>
      <c r="D46" s="35"/>
      <c r="E46" s="35"/>
      <c r="F46" s="35"/>
      <c r="G46" s="35"/>
      <c r="H46" s="123" t="s">
        <v>226</v>
      </c>
      <c r="I46" s="123"/>
      <c r="J46" s="123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/>
      <c r="I47" s="123"/>
      <c r="J47" s="123"/>
      <c r="K47" s="35"/>
      <c r="L47" s="35"/>
      <c r="M47" s="35"/>
      <c r="N47" s="35"/>
    </row>
    <row r="48" spans="1:14" s="121" customForma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0"/>
      <c r="K48" s="35"/>
      <c r="L48" s="35"/>
      <c r="M48" s="35"/>
      <c r="N48" s="35"/>
    </row>
    <row r="49" spans="1:14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</sheetData>
  <pageMargins left="0.75" right="0.75" top="1" bottom="1" header="0.5" footer="0.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0"/>
  <sheetViews>
    <sheetView topLeftCell="A19" zoomScaleNormal="100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2.140625" style="3" customWidth="1"/>
    <col min="7" max="7" width="10.7109375" style="3" hidden="1" customWidth="1"/>
    <col min="8" max="8" width="17.28515625" style="3" hidden="1" customWidth="1"/>
    <col min="9" max="9" width="34.7109375" style="3" customWidth="1"/>
    <col min="10" max="10" width="8.710937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179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240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1" ht="44.4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1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1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1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1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1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1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1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  <c r="K24" s="128"/>
    </row>
    <row r="25" spans="1:11" x14ac:dyDescent="0.25">
      <c r="A25" s="14" t="s">
        <v>192</v>
      </c>
      <c r="B25" s="22"/>
      <c r="C25" s="22"/>
      <c r="D25" s="124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1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1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1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1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1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1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19546.81/590*1/240*4</f>
        <v>0.55216977401129941</v>
      </c>
    </row>
    <row r="32" spans="1:11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4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4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4" x14ac:dyDescent="0.25">
      <c r="A35" s="68" t="s">
        <v>241</v>
      </c>
      <c r="B35" s="112"/>
      <c r="C35" s="112"/>
      <c r="D35" s="112"/>
      <c r="E35" s="112"/>
      <c r="F35" s="112"/>
      <c r="G35" s="112"/>
      <c r="H35" s="113"/>
      <c r="I35" s="113"/>
      <c r="J35" s="107">
        <v>3.55</v>
      </c>
    </row>
    <row r="36" spans="1:14" x14ac:dyDescent="0.25">
      <c r="A36" s="17" t="s">
        <v>221</v>
      </c>
      <c r="B36" s="22"/>
      <c r="C36" s="22"/>
      <c r="D36" s="22"/>
      <c r="E36" s="22"/>
      <c r="F36" s="22"/>
      <c r="G36" s="22"/>
      <c r="H36" s="105"/>
      <c r="I36" s="105"/>
      <c r="J36" s="111">
        <v>559.54</v>
      </c>
    </row>
    <row r="37" spans="1:14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14"/>
      <c r="J37" s="108">
        <f>SUM(J24:J36)</f>
        <v>2428.568602000797</v>
      </c>
    </row>
    <row r="38" spans="1:14" ht="26.45" customHeight="1" x14ac:dyDescent="0.25">
      <c r="A38" s="115" t="s">
        <v>223</v>
      </c>
      <c r="B38" s="116"/>
      <c r="C38" s="116"/>
      <c r="D38" s="116"/>
      <c r="E38" s="116"/>
      <c r="F38" s="116"/>
      <c r="G38" s="116"/>
      <c r="H38" s="117"/>
      <c r="I38" s="118"/>
      <c r="J38" s="108">
        <f>J37*5%</f>
        <v>121.42843010003986</v>
      </c>
    </row>
    <row r="39" spans="1:14" x14ac:dyDescent="0.25">
      <c r="A39" s="27" t="s">
        <v>242</v>
      </c>
      <c r="B39" s="27"/>
      <c r="C39" s="27"/>
      <c r="D39" s="27"/>
      <c r="E39" s="27"/>
      <c r="F39" s="27"/>
      <c r="G39" s="27"/>
      <c r="H39" s="53"/>
      <c r="I39" s="53"/>
      <c r="J39" s="108">
        <f>J37+J38</f>
        <v>2549.9970321008368</v>
      </c>
    </row>
    <row r="40" spans="1:14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53"/>
      <c r="J40" s="108">
        <f>J39/1</f>
        <v>2549.9970321008368</v>
      </c>
      <c r="M40" s="119"/>
    </row>
    <row r="41" spans="1:14" x14ac:dyDescent="0.25">
      <c r="A41" s="29"/>
    </row>
    <row r="42" spans="1:14" x14ac:dyDescent="0.25">
      <c r="A42" s="29"/>
    </row>
    <row r="43" spans="1:14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120"/>
      <c r="K43" s="30"/>
      <c r="L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x14ac:dyDescent="0.25">
      <c r="A46" s="122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/>
      <c r="I47" s="123"/>
      <c r="J47" s="123"/>
      <c r="K47" s="35"/>
      <c r="L47" s="35"/>
      <c r="M47" s="35"/>
      <c r="N47" s="35"/>
    </row>
    <row r="48" spans="1:14" s="121" customFormat="1" ht="12.75" x14ac:dyDescent="0.2">
      <c r="C48" s="35"/>
      <c r="D48" s="35"/>
      <c r="E48" s="35"/>
      <c r="F48" s="35"/>
      <c r="G48" s="35"/>
      <c r="H48" s="123"/>
      <c r="I48" s="123"/>
      <c r="J48" s="123"/>
      <c r="K48" s="35"/>
      <c r="L48" s="35"/>
      <c r="M48" s="35"/>
      <c r="N48" s="35"/>
    </row>
    <row r="49" spans="1:14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0"/>
      <c r="K49" s="35"/>
      <c r="L49" s="35"/>
      <c r="M49" s="35"/>
      <c r="N49" s="35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</sheetData>
  <pageMargins left="0.75" right="0.75" top="1" bottom="1" header="0.5" footer="0.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0"/>
  <sheetViews>
    <sheetView topLeftCell="A13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6.28515625" style="3" customWidth="1"/>
    <col min="7" max="7" width="10.7109375" style="3" hidden="1" customWidth="1"/>
    <col min="8" max="8" width="16" style="3" hidden="1" customWidth="1"/>
    <col min="9" max="9" width="35.5703125" style="3" customWidth="1"/>
    <col min="10" max="10" width="8.1406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200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180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65.2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01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0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19546.81/590*1/240*4</f>
        <v>0.55216977401129941</v>
      </c>
    </row>
    <row r="32" spans="1:10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4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4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4" x14ac:dyDescent="0.25">
      <c r="A35" s="68" t="s">
        <v>243</v>
      </c>
      <c r="B35" s="112"/>
      <c r="C35" s="112"/>
      <c r="D35" s="112"/>
      <c r="E35" s="112"/>
      <c r="F35" s="112"/>
      <c r="G35" s="112"/>
      <c r="H35" s="113"/>
      <c r="I35" s="113"/>
      <c r="J35" s="107">
        <v>3.36</v>
      </c>
    </row>
    <row r="36" spans="1:14" x14ac:dyDescent="0.25">
      <c r="A36" s="17" t="s">
        <v>244</v>
      </c>
      <c r="B36" s="22"/>
      <c r="C36" s="22"/>
      <c r="D36" s="22"/>
      <c r="E36" s="22"/>
      <c r="F36" s="22"/>
      <c r="G36" s="22"/>
      <c r="H36" s="105"/>
      <c r="I36" s="105"/>
      <c r="J36" s="111">
        <v>559.73</v>
      </c>
    </row>
    <row r="37" spans="1:14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14"/>
      <c r="J37" s="108">
        <f>SUM(J24:J36)</f>
        <v>2428.568602000797</v>
      </c>
    </row>
    <row r="38" spans="1:14" x14ac:dyDescent="0.25">
      <c r="A38" s="115" t="s">
        <v>245</v>
      </c>
      <c r="B38" s="116"/>
      <c r="C38" s="116"/>
      <c r="D38" s="116"/>
      <c r="E38" s="116"/>
      <c r="F38" s="116"/>
      <c r="G38" s="116"/>
      <c r="H38" s="117"/>
      <c r="I38" s="118"/>
      <c r="J38" s="108">
        <f>J37*5%</f>
        <v>121.42843010003986</v>
      </c>
    </row>
    <row r="39" spans="1:14" x14ac:dyDescent="0.25">
      <c r="A39" s="27" t="s">
        <v>246</v>
      </c>
      <c r="B39" s="27"/>
      <c r="C39" s="27"/>
      <c r="D39" s="27"/>
      <c r="E39" s="27"/>
      <c r="F39" s="27"/>
      <c r="G39" s="27"/>
      <c r="H39" s="53"/>
      <c r="I39" s="53"/>
      <c r="J39" s="108">
        <f>J37+J38</f>
        <v>2549.9970321008368</v>
      </c>
    </row>
    <row r="40" spans="1:14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53"/>
      <c r="J40" s="108">
        <f>J39</f>
        <v>2549.9970321008368</v>
      </c>
      <c r="M40" s="119"/>
    </row>
    <row r="41" spans="1:14" x14ac:dyDescent="0.25">
      <c r="A41" s="29"/>
    </row>
    <row r="42" spans="1:14" x14ac:dyDescent="0.25">
      <c r="A42" s="29"/>
    </row>
    <row r="43" spans="1:14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120"/>
      <c r="K43" s="30"/>
      <c r="L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x14ac:dyDescent="0.25">
      <c r="A46" s="122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 t="s">
        <v>226</v>
      </c>
      <c r="I47" s="123"/>
      <c r="J47" s="123"/>
      <c r="K47" s="35"/>
      <c r="L47" s="35"/>
      <c r="M47" s="35"/>
      <c r="N47" s="35"/>
    </row>
    <row r="48" spans="1:14" s="121" customForma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0"/>
      <c r="K48" s="35"/>
      <c r="L48" s="35"/>
      <c r="M48" s="35"/>
      <c r="N48" s="35"/>
    </row>
    <row r="49" spans="1:14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0"/>
      <c r="K49" s="35"/>
      <c r="L49" s="35"/>
      <c r="M49" s="35"/>
      <c r="N49" s="35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0"/>
  <sheetViews>
    <sheetView topLeftCell="A19" zoomScaleNormal="100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5.140625" style="3" customWidth="1"/>
    <col min="7" max="7" width="10.7109375" style="3" hidden="1" customWidth="1"/>
    <col min="8" max="8" width="17.28515625" style="3" hidden="1" customWidth="1"/>
    <col min="9" max="9" width="33" style="3" customWidth="1"/>
    <col min="10" max="10" width="8.1406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200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247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52.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01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0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19546.81/590*1/240*4</f>
        <v>0.55216977401129941</v>
      </c>
    </row>
    <row r="32" spans="1:10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4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4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4" x14ac:dyDescent="0.25">
      <c r="A35" s="68" t="s">
        <v>248</v>
      </c>
      <c r="B35" s="112"/>
      <c r="C35" s="112"/>
      <c r="D35" s="112"/>
      <c r="E35" s="112"/>
      <c r="F35" s="112"/>
      <c r="G35" s="112"/>
      <c r="H35" s="113"/>
      <c r="I35" s="113"/>
      <c r="J35" s="107">
        <v>27.67</v>
      </c>
    </row>
    <row r="36" spans="1:14" x14ac:dyDescent="0.25">
      <c r="A36" s="17" t="s">
        <v>244</v>
      </c>
      <c r="B36" s="22"/>
      <c r="C36" s="22"/>
      <c r="D36" s="22"/>
      <c r="E36" s="22"/>
      <c r="F36" s="22"/>
      <c r="G36" s="22"/>
      <c r="H36" s="105"/>
      <c r="I36" s="105"/>
      <c r="J36" s="111">
        <v>535.41999999999996</v>
      </c>
    </row>
    <row r="37" spans="1:14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14"/>
      <c r="J37" s="108">
        <f>SUM(J24:J36)</f>
        <v>2428.568602000797</v>
      </c>
    </row>
    <row r="38" spans="1:14" x14ac:dyDescent="0.25">
      <c r="A38" s="115" t="s">
        <v>223</v>
      </c>
      <c r="B38" s="129"/>
      <c r="C38" s="129"/>
      <c r="D38" s="129"/>
      <c r="E38" s="129"/>
      <c r="F38" s="129"/>
      <c r="G38" s="129"/>
      <c r="H38" s="129"/>
      <c r="I38" s="130"/>
      <c r="J38" s="108">
        <f>J37*5%</f>
        <v>121.42843010003986</v>
      </c>
    </row>
    <row r="39" spans="1:14" x14ac:dyDescent="0.25">
      <c r="A39" s="27" t="s">
        <v>249</v>
      </c>
      <c r="B39" s="27"/>
      <c r="C39" s="27"/>
      <c r="D39" s="27"/>
      <c r="E39" s="27"/>
      <c r="F39" s="27"/>
      <c r="G39" s="27"/>
      <c r="H39" s="53"/>
      <c r="I39" s="53"/>
      <c r="J39" s="108">
        <f>SUM(J37:J38)</f>
        <v>2549.9970321008368</v>
      </c>
    </row>
    <row r="40" spans="1:14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53"/>
      <c r="J40" s="108">
        <f>J39</f>
        <v>2549.9970321008368</v>
      </c>
    </row>
    <row r="41" spans="1:14" x14ac:dyDescent="0.25">
      <c r="A41" s="29"/>
    </row>
    <row r="42" spans="1:14" x14ac:dyDescent="0.25">
      <c r="A42" s="29"/>
    </row>
    <row r="43" spans="1:14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120"/>
      <c r="K43" s="30"/>
      <c r="L43" s="30"/>
      <c r="M43" s="30"/>
      <c r="N43" s="30"/>
    </row>
    <row r="44" spans="1:14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0"/>
      <c r="K45" s="35"/>
      <c r="L45" s="35"/>
      <c r="M45" s="35"/>
      <c r="N45" s="35"/>
    </row>
    <row r="46" spans="1:14" s="121" customFormat="1" x14ac:dyDescent="0.25">
      <c r="A46" s="122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ht="12.75" x14ac:dyDescent="0.2">
      <c r="C47" s="35"/>
      <c r="D47" s="35"/>
      <c r="E47" s="35"/>
      <c r="F47" s="35"/>
      <c r="G47" s="35"/>
      <c r="H47" s="123" t="s">
        <v>226</v>
      </c>
      <c r="I47" s="123"/>
      <c r="J47" s="123"/>
      <c r="K47" s="35"/>
      <c r="L47" s="35"/>
      <c r="M47" s="35"/>
      <c r="N47" s="35"/>
    </row>
    <row r="48" spans="1:14" s="121" customForma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0"/>
      <c r="K48" s="35"/>
      <c r="L48" s="35"/>
      <c r="M48" s="35"/>
      <c r="N48" s="35"/>
    </row>
    <row r="49" spans="1:14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0"/>
      <c r="K49" s="35"/>
      <c r="L49" s="35"/>
      <c r="M49" s="35"/>
      <c r="N49" s="35"/>
    </row>
    <row r="50" spans="1:14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</sheetData>
  <pageMargins left="0.75" right="0.75" top="1" bottom="1" header="0.5" footer="0.5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50"/>
  <sheetViews>
    <sheetView topLeftCell="A10" zoomScaleNormal="100" workbookViewId="0">
      <selection activeCell="A38" sqref="A38:H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7.42578125" style="3" customWidth="1"/>
    <col min="7" max="7" width="10.5703125" style="3" hidden="1" customWidth="1"/>
    <col min="8" max="8" width="17.28515625" style="3" hidden="1" customWidth="1"/>
    <col min="9" max="9" width="31.7109375" style="3" customWidth="1"/>
    <col min="10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200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250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45.75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15.75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01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7" t="s">
        <v>216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217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95</v>
      </c>
      <c r="B29" s="22"/>
      <c r="C29" s="22"/>
      <c r="D29" s="22"/>
      <c r="E29" s="22"/>
      <c r="F29" s="22"/>
      <c r="G29" s="22"/>
      <c r="H29" s="22"/>
      <c r="I29" s="22"/>
      <c r="J29" s="111"/>
    </row>
    <row r="30" spans="1:10" x14ac:dyDescent="0.25">
      <c r="A30" s="17" t="s">
        <v>70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218</v>
      </c>
      <c r="B31" s="22"/>
      <c r="C31" s="22"/>
      <c r="D31" s="22"/>
      <c r="E31" s="22"/>
      <c r="F31" s="22"/>
      <c r="G31" s="22"/>
      <c r="H31" s="105"/>
      <c r="I31" s="105"/>
      <c r="J31" s="107">
        <f>19546.81/590*1/240*4</f>
        <v>0.55216977401129941</v>
      </c>
    </row>
    <row r="32" spans="1:10" x14ac:dyDescent="0.25">
      <c r="A32" s="17" t="s">
        <v>72</v>
      </c>
      <c r="B32" s="22"/>
      <c r="C32" s="22"/>
      <c r="D32" s="22"/>
      <c r="E32" s="22"/>
      <c r="F32" s="22"/>
      <c r="G32" s="22"/>
      <c r="H32" s="22"/>
      <c r="I32" s="22"/>
      <c r="J32" s="111"/>
    </row>
    <row r="33" spans="1:13" x14ac:dyDescent="0.25">
      <c r="A33" s="17" t="s">
        <v>231</v>
      </c>
      <c r="B33" s="22"/>
      <c r="C33" s="22"/>
      <c r="D33" s="22"/>
      <c r="E33" s="22"/>
      <c r="F33" s="22"/>
      <c r="G33" s="22"/>
      <c r="H33" s="105"/>
      <c r="I33" s="105"/>
      <c r="J33" s="107">
        <f>80836.25/590*1/240*4</f>
        <v>2.2835098870056498</v>
      </c>
    </row>
    <row r="34" spans="1:13" x14ac:dyDescent="0.25">
      <c r="A34" s="14" t="s">
        <v>115</v>
      </c>
      <c r="B34" s="22"/>
      <c r="C34" s="22"/>
      <c r="D34" s="22"/>
      <c r="E34" s="22"/>
      <c r="F34" s="22"/>
      <c r="G34" s="22"/>
      <c r="H34" s="22"/>
      <c r="I34" s="22"/>
      <c r="J34" s="111"/>
    </row>
    <row r="35" spans="1:13" x14ac:dyDescent="0.25">
      <c r="A35" s="68" t="s">
        <v>251</v>
      </c>
      <c r="B35" s="112"/>
      <c r="C35" s="112"/>
      <c r="D35" s="112"/>
      <c r="E35" s="112"/>
      <c r="F35" s="112"/>
      <c r="G35" s="112"/>
      <c r="H35" s="113"/>
      <c r="I35" s="113"/>
      <c r="J35" s="107">
        <v>10.43</v>
      </c>
    </row>
    <row r="36" spans="1:13" x14ac:dyDescent="0.25">
      <c r="A36" s="17" t="s">
        <v>244</v>
      </c>
      <c r="B36" s="22"/>
      <c r="C36" s="22"/>
      <c r="D36" s="22"/>
      <c r="E36" s="22"/>
      <c r="F36" s="22"/>
      <c r="G36" s="22"/>
      <c r="H36" s="105"/>
      <c r="I36" s="105"/>
      <c r="J36" s="111">
        <v>552.66</v>
      </c>
    </row>
    <row r="37" spans="1:13" x14ac:dyDescent="0.25">
      <c r="A37" s="80" t="s">
        <v>222</v>
      </c>
      <c r="B37" s="114"/>
      <c r="C37" s="114"/>
      <c r="D37" s="114"/>
      <c r="E37" s="114"/>
      <c r="F37" s="114"/>
      <c r="G37" s="114"/>
      <c r="H37" s="114"/>
      <c r="I37" s="108"/>
      <c r="J37" s="108">
        <f>SUM(J24:J36)</f>
        <v>2428.568602000797</v>
      </c>
    </row>
    <row r="38" spans="1:13" x14ac:dyDescent="0.25">
      <c r="A38" s="125" t="s">
        <v>252</v>
      </c>
      <c r="B38" s="131"/>
      <c r="C38" s="131"/>
      <c r="D38" s="131"/>
      <c r="E38" s="131"/>
      <c r="F38" s="131"/>
      <c r="G38" s="131"/>
      <c r="H38" s="132"/>
      <c r="I38" s="118" t="s">
        <v>253</v>
      </c>
      <c r="J38" s="108">
        <f>J37*5%</f>
        <v>121.42843010003986</v>
      </c>
    </row>
    <row r="39" spans="1:13" x14ac:dyDescent="0.25">
      <c r="A39" s="27" t="s">
        <v>254</v>
      </c>
      <c r="B39" s="27"/>
      <c r="C39" s="27"/>
      <c r="D39" s="27"/>
      <c r="E39" s="27"/>
      <c r="F39" s="27"/>
      <c r="G39" s="27"/>
      <c r="H39" s="53"/>
      <c r="I39" s="108"/>
      <c r="J39" s="108">
        <f>J37+J38</f>
        <v>2549.9970321008368</v>
      </c>
    </row>
    <row r="40" spans="1:13" x14ac:dyDescent="0.25">
      <c r="A40" s="27" t="s">
        <v>235</v>
      </c>
      <c r="B40" s="27"/>
      <c r="C40" s="27"/>
      <c r="D40" s="27"/>
      <c r="E40" s="27"/>
      <c r="F40" s="27"/>
      <c r="G40" s="27"/>
      <c r="H40" s="53"/>
      <c r="I40" s="108"/>
      <c r="J40" s="108">
        <f>J39</f>
        <v>2549.9970321008368</v>
      </c>
    </row>
    <row r="41" spans="1:13" x14ac:dyDescent="0.25">
      <c r="A41" s="29"/>
    </row>
    <row r="42" spans="1:13" x14ac:dyDescent="0.25">
      <c r="A42" s="29"/>
    </row>
    <row r="43" spans="1:13" x14ac:dyDescent="0.25">
      <c r="A43" s="30" t="s">
        <v>36</v>
      </c>
      <c r="B43" s="30"/>
      <c r="C43" s="30"/>
      <c r="D43" s="30"/>
      <c r="E43" s="30" t="s">
        <v>37</v>
      </c>
      <c r="F43" s="30"/>
      <c r="G43" s="30" t="s">
        <v>81</v>
      </c>
      <c r="H43" s="30"/>
      <c r="I43" s="30" t="s">
        <v>38</v>
      </c>
      <c r="J43" s="30"/>
      <c r="K43" s="30"/>
      <c r="L43" s="30"/>
      <c r="M43" s="30"/>
    </row>
    <row r="44" spans="1:13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s="121" customFormat="1" x14ac:dyDescent="0.25">
      <c r="A45" s="35"/>
      <c r="B45" s="35"/>
      <c r="C45" s="35"/>
      <c r="D45" s="35"/>
      <c r="E45" s="35"/>
      <c r="F45" s="35"/>
      <c r="G45" s="35"/>
      <c r="H45" s="35"/>
      <c r="I45" s="30"/>
      <c r="J45" s="35"/>
      <c r="K45" s="35"/>
      <c r="L45" s="35"/>
      <c r="M45" s="35"/>
    </row>
    <row r="46" spans="1:13" s="121" customFormat="1" x14ac:dyDescent="0.25">
      <c r="A46" s="122"/>
      <c r="C46" s="35"/>
      <c r="D46" s="35"/>
      <c r="E46" s="35"/>
      <c r="F46" s="35"/>
      <c r="G46" s="35"/>
      <c r="H46" s="35"/>
      <c r="I46" s="30"/>
      <c r="J46" s="35"/>
      <c r="K46" s="35"/>
      <c r="L46" s="35"/>
      <c r="M46" s="35"/>
    </row>
    <row r="47" spans="1:13" s="121" customFormat="1" ht="12.75" x14ac:dyDescent="0.2">
      <c r="C47" s="35"/>
      <c r="D47" s="35"/>
      <c r="E47" s="35"/>
      <c r="F47" s="35"/>
      <c r="G47" s="35"/>
      <c r="H47" s="123" t="s">
        <v>226</v>
      </c>
      <c r="I47" s="123"/>
      <c r="J47" s="35"/>
      <c r="K47" s="35"/>
      <c r="L47" s="35"/>
      <c r="M47" s="35"/>
    </row>
    <row r="48" spans="1:13" s="121" customFormat="1" x14ac:dyDescent="0.25">
      <c r="A48" s="35"/>
      <c r="B48" s="35"/>
      <c r="C48" s="35"/>
      <c r="D48" s="35"/>
      <c r="E48" s="35"/>
      <c r="F48" s="35"/>
      <c r="G48" s="35"/>
      <c r="H48" s="35"/>
      <c r="I48" s="30"/>
      <c r="J48" s="35"/>
      <c r="K48" s="35"/>
      <c r="L48" s="35"/>
      <c r="M48" s="35"/>
    </row>
    <row r="49" spans="1:13" s="121" customFormat="1" x14ac:dyDescent="0.25">
      <c r="A49" s="35"/>
      <c r="B49" s="35"/>
      <c r="C49" s="35"/>
      <c r="D49" s="35"/>
      <c r="E49" s="35"/>
      <c r="F49" s="35"/>
      <c r="G49" s="35"/>
      <c r="H49" s="35"/>
      <c r="I49" s="30"/>
      <c r="J49" s="35"/>
      <c r="K49" s="35"/>
      <c r="L49" s="35"/>
      <c r="M49" s="35"/>
    </row>
    <row r="50" spans="1:13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</sheetData>
  <mergeCells count="1">
    <mergeCell ref="A38:H38"/>
  </mergeCells>
  <pageMargins left="0.75" right="0.75" top="1" bottom="1" header="0.5" footer="0.5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1"/>
  <sheetViews>
    <sheetView topLeftCell="A13" zoomScaleNormal="100" workbookViewId="0">
      <selection activeCell="A38" sqref="A38"/>
    </sheetView>
  </sheetViews>
  <sheetFormatPr defaultRowHeight="15" x14ac:dyDescent="0.25"/>
  <cols>
    <col min="1" max="1" width="9.140625" style="3"/>
    <col min="2" max="2" width="2.7109375" style="3" customWidth="1"/>
    <col min="3" max="5" width="9.140625" style="3"/>
    <col min="6" max="6" width="5.28515625" style="3" customWidth="1"/>
    <col min="7" max="7" width="10.7109375" style="3" hidden="1" customWidth="1"/>
    <col min="8" max="8" width="18.140625" style="3" hidden="1" customWidth="1"/>
    <col min="9" max="9" width="31.5703125" style="3" customWidth="1"/>
    <col min="10" max="10" width="9.140625" style="3" customWidth="1"/>
    <col min="11" max="16384" width="9.140625" style="3"/>
  </cols>
  <sheetData>
    <row r="1" spans="1:10" ht="15" customHeight="1" x14ac:dyDescent="0.25">
      <c r="A1" s="4"/>
      <c r="F1" s="3" t="s">
        <v>0</v>
      </c>
      <c r="G1" s="4"/>
    </row>
    <row r="2" spans="1:10" ht="15" customHeight="1" x14ac:dyDescent="0.25">
      <c r="F2" s="3" t="s">
        <v>199</v>
      </c>
    </row>
    <row r="3" spans="1:10" ht="15" customHeight="1" x14ac:dyDescent="0.25">
      <c r="A3" s="4"/>
      <c r="F3" s="3" t="s">
        <v>3</v>
      </c>
    </row>
    <row r="4" spans="1:10" ht="15" customHeight="1" x14ac:dyDescent="0.25">
      <c r="A4" s="4"/>
      <c r="F4" s="3" t="s">
        <v>5</v>
      </c>
    </row>
    <row r="5" spans="1:10" ht="15" customHeight="1" x14ac:dyDescent="0.25">
      <c r="A5" s="4"/>
    </row>
    <row r="6" spans="1:10" x14ac:dyDescent="0.25">
      <c r="A6" s="43"/>
      <c r="B6" s="48"/>
      <c r="C6" s="48"/>
      <c r="D6" s="44"/>
      <c r="E6" s="44" t="s">
        <v>6</v>
      </c>
      <c r="F6" s="48"/>
      <c r="G6" s="48"/>
    </row>
    <row r="7" spans="1:10" x14ac:dyDescent="0.25">
      <c r="B7" s="48"/>
      <c r="C7" s="48"/>
      <c r="D7" s="48"/>
      <c r="E7" s="44"/>
      <c r="F7" s="44" t="s">
        <v>201</v>
      </c>
      <c r="G7" s="48"/>
    </row>
    <row r="8" spans="1:10" x14ac:dyDescent="0.25">
      <c r="B8" s="48"/>
      <c r="C8" s="48"/>
      <c r="D8" s="48"/>
      <c r="E8" s="44"/>
      <c r="F8" s="44" t="s">
        <v>255</v>
      </c>
      <c r="G8" s="48"/>
    </row>
    <row r="9" spans="1:10" x14ac:dyDescent="0.25">
      <c r="B9" s="48"/>
      <c r="C9" s="48"/>
      <c r="D9" s="48"/>
      <c r="E9" s="44" t="s">
        <v>203</v>
      </c>
      <c r="F9" s="46"/>
      <c r="G9" s="48"/>
    </row>
    <row r="10" spans="1:10" x14ac:dyDescent="0.25">
      <c r="B10" s="48"/>
      <c r="C10" s="48"/>
      <c r="D10" s="44"/>
      <c r="E10" s="44" t="s">
        <v>204</v>
      </c>
      <c r="F10" s="48"/>
      <c r="G10" s="48"/>
    </row>
    <row r="11" spans="1:10" x14ac:dyDescent="0.25">
      <c r="B11" s="48"/>
      <c r="C11" s="48"/>
      <c r="D11" s="44"/>
      <c r="E11" s="44" t="s">
        <v>205</v>
      </c>
      <c r="F11" s="44"/>
      <c r="G11" s="48"/>
    </row>
    <row r="12" spans="1:10" x14ac:dyDescent="0.25">
      <c r="B12" s="48"/>
      <c r="C12" s="48"/>
      <c r="D12" s="44"/>
      <c r="E12" s="44"/>
      <c r="F12" s="44"/>
      <c r="G12" s="48"/>
    </row>
    <row r="13" spans="1:10" x14ac:dyDescent="0.25">
      <c r="A13" s="46" t="s">
        <v>157</v>
      </c>
      <c r="C13" s="46"/>
    </row>
    <row r="14" spans="1:10" x14ac:dyDescent="0.25">
      <c r="A14" s="46" t="s">
        <v>206</v>
      </c>
    </row>
    <row r="15" spans="1:10" x14ac:dyDescent="0.25">
      <c r="A15" s="46"/>
    </row>
    <row r="16" spans="1:10" x14ac:dyDescent="0.25">
      <c r="A16" s="14" t="s">
        <v>12</v>
      </c>
      <c r="B16" s="22"/>
      <c r="C16" s="22"/>
      <c r="D16" s="22"/>
      <c r="E16" s="22"/>
      <c r="F16" s="22"/>
      <c r="G16" s="22"/>
      <c r="H16" s="22"/>
      <c r="I16" s="22"/>
      <c r="J16" s="105"/>
    </row>
    <row r="17" spans="1:10" ht="42.6" customHeight="1" x14ac:dyDescent="0.25">
      <c r="A17" s="17" t="s">
        <v>207</v>
      </c>
      <c r="B17" s="22"/>
      <c r="C17" s="22"/>
      <c r="D17" s="22"/>
      <c r="E17" s="22"/>
      <c r="F17" s="22"/>
      <c r="G17" s="22"/>
      <c r="H17" s="105"/>
      <c r="I17" s="106" t="s">
        <v>184</v>
      </c>
      <c r="J17" s="107">
        <f>14389/72*4</f>
        <v>799.38888888888891</v>
      </c>
    </row>
    <row r="18" spans="1:10" ht="21.6" customHeight="1" x14ac:dyDescent="0.25">
      <c r="A18" s="17" t="s">
        <v>15</v>
      </c>
      <c r="B18" s="22"/>
      <c r="C18" s="22"/>
      <c r="D18" s="22"/>
      <c r="E18" s="22"/>
      <c r="F18" s="22"/>
      <c r="G18" s="22"/>
      <c r="H18" s="105"/>
      <c r="I18" s="106"/>
      <c r="J18" s="107">
        <v>100</v>
      </c>
    </row>
    <row r="19" spans="1:10" ht="24" customHeight="1" x14ac:dyDescent="0.25">
      <c r="A19" s="17" t="s">
        <v>185</v>
      </c>
      <c r="B19" s="22"/>
      <c r="C19" s="22"/>
      <c r="D19" s="22"/>
      <c r="E19" s="22"/>
      <c r="F19" s="22"/>
      <c r="G19" s="22"/>
      <c r="H19" s="105"/>
      <c r="I19" s="106" t="s">
        <v>209</v>
      </c>
      <c r="J19" s="107">
        <f>(J17+J18)/29.3*56/12</f>
        <v>143.24737706990268</v>
      </c>
    </row>
    <row r="20" spans="1:10" x14ac:dyDescent="0.25">
      <c r="A20" s="17" t="s">
        <v>187</v>
      </c>
      <c r="B20" s="22"/>
      <c r="C20" s="22"/>
      <c r="D20" s="22"/>
      <c r="E20" s="22"/>
      <c r="F20" s="22"/>
      <c r="G20" s="22"/>
      <c r="H20" s="105"/>
      <c r="I20" s="53" t="s">
        <v>214</v>
      </c>
      <c r="J20" s="107">
        <f>(J17+J18)*10%</f>
        <v>89.938888888888897</v>
      </c>
    </row>
    <row r="21" spans="1:10" x14ac:dyDescent="0.25">
      <c r="A21" s="17" t="s">
        <v>20</v>
      </c>
      <c r="B21" s="22"/>
      <c r="C21" s="22"/>
      <c r="D21" s="22"/>
      <c r="E21" s="22"/>
      <c r="F21" s="22"/>
      <c r="G21" s="22"/>
      <c r="H21" s="105"/>
      <c r="I21" s="53" t="s">
        <v>229</v>
      </c>
      <c r="J21" s="107">
        <f>J20/29.3*56/12</f>
        <v>14.324737706990268</v>
      </c>
    </row>
    <row r="22" spans="1:10" x14ac:dyDescent="0.25">
      <c r="A22" s="17" t="s">
        <v>190</v>
      </c>
      <c r="B22" s="22"/>
      <c r="C22" s="22"/>
      <c r="D22" s="22"/>
      <c r="E22" s="22"/>
      <c r="F22" s="22"/>
      <c r="G22" s="22"/>
      <c r="H22" s="105"/>
      <c r="I22" s="53" t="s">
        <v>214</v>
      </c>
      <c r="J22" s="107">
        <f>(J17+J18)*10%</f>
        <v>89.938888888888897</v>
      </c>
    </row>
    <row r="23" spans="1:10" x14ac:dyDescent="0.25">
      <c r="A23" s="17" t="s">
        <v>24</v>
      </c>
      <c r="B23" s="22"/>
      <c r="C23" s="22"/>
      <c r="D23" s="22"/>
      <c r="E23" s="22"/>
      <c r="F23" s="22"/>
      <c r="G23" s="22"/>
      <c r="H23" s="105"/>
      <c r="I23" s="53" t="s">
        <v>230</v>
      </c>
      <c r="J23" s="107">
        <f>J22/29.3*28/12</f>
        <v>7.162368853495134</v>
      </c>
    </row>
    <row r="24" spans="1:10" x14ac:dyDescent="0.25">
      <c r="A24" s="14" t="s">
        <v>26</v>
      </c>
      <c r="B24" s="22"/>
      <c r="C24" s="22"/>
      <c r="D24" s="22"/>
      <c r="E24" s="22"/>
      <c r="F24" s="22"/>
      <c r="G24" s="22"/>
      <c r="H24" s="105"/>
      <c r="I24" s="105"/>
      <c r="J24" s="108">
        <f>SUM(J17:J23)</f>
        <v>1244.0011502970547</v>
      </c>
    </row>
    <row r="25" spans="1:10" x14ac:dyDescent="0.25">
      <c r="A25" s="14" t="s">
        <v>192</v>
      </c>
      <c r="B25" s="22"/>
      <c r="C25" s="22"/>
      <c r="D25" s="124">
        <v>0.15</v>
      </c>
      <c r="E25" s="22"/>
      <c r="F25" s="22"/>
      <c r="G25" s="22"/>
      <c r="H25" s="105"/>
      <c r="I25" s="109"/>
      <c r="J25" s="108">
        <f>SUM(J17:J23)*15%</f>
        <v>186.60017254455821</v>
      </c>
    </row>
    <row r="26" spans="1:10" x14ac:dyDescent="0.25">
      <c r="A26" s="14" t="s">
        <v>28</v>
      </c>
      <c r="B26" s="22"/>
      <c r="C26" s="22"/>
      <c r="D26" s="22"/>
      <c r="E26" s="22"/>
      <c r="F26" s="22"/>
      <c r="G26" s="22"/>
      <c r="H26" s="105"/>
      <c r="I26" s="105"/>
      <c r="J26" s="108">
        <f>(J24+J25)*30.2%</f>
        <v>432.0415994981671</v>
      </c>
    </row>
    <row r="27" spans="1:10" x14ac:dyDescent="0.25">
      <c r="A27" s="14" t="s">
        <v>68</v>
      </c>
      <c r="B27" s="22"/>
      <c r="C27" s="22"/>
      <c r="D27" s="22"/>
      <c r="E27" s="22"/>
      <c r="F27" s="22"/>
      <c r="G27" s="22"/>
      <c r="H27" s="22"/>
      <c r="I27" s="22"/>
      <c r="J27" s="110"/>
    </row>
    <row r="28" spans="1:10" x14ac:dyDescent="0.25">
      <c r="A28" s="17" t="s">
        <v>256</v>
      </c>
      <c r="B28" s="22"/>
      <c r="C28" s="22"/>
      <c r="D28" s="22"/>
      <c r="E28" s="22"/>
      <c r="F28" s="22"/>
      <c r="G28" s="22"/>
      <c r="H28" s="22"/>
      <c r="I28" s="22"/>
      <c r="J28" s="110"/>
    </row>
    <row r="29" spans="1:10" x14ac:dyDescent="0.25">
      <c r="A29" s="17" t="s">
        <v>217</v>
      </c>
      <c r="B29" s="22"/>
      <c r="C29" s="22"/>
      <c r="D29" s="22"/>
      <c r="E29" s="22"/>
      <c r="F29" s="22"/>
      <c r="G29" s="22"/>
      <c r="H29" s="22"/>
      <c r="I29" s="22"/>
      <c r="J29" s="110"/>
    </row>
    <row r="30" spans="1:10" x14ac:dyDescent="0.25">
      <c r="A30" s="17" t="s">
        <v>95</v>
      </c>
      <c r="B30" s="22"/>
      <c r="C30" s="22"/>
      <c r="D30" s="22"/>
      <c r="E30" s="22"/>
      <c r="F30" s="22"/>
      <c r="G30" s="22"/>
      <c r="H30" s="22"/>
      <c r="I30" s="22"/>
      <c r="J30" s="111"/>
    </row>
    <row r="31" spans="1:10" x14ac:dyDescent="0.25">
      <c r="A31" s="17" t="s">
        <v>70</v>
      </c>
      <c r="B31" s="22"/>
      <c r="C31" s="22"/>
      <c r="D31" s="22"/>
      <c r="E31" s="22"/>
      <c r="F31" s="22"/>
      <c r="G31" s="22"/>
      <c r="H31" s="22"/>
      <c r="I31" s="22"/>
      <c r="J31" s="111"/>
    </row>
    <row r="32" spans="1:10" x14ac:dyDescent="0.25">
      <c r="A32" s="17" t="s">
        <v>218</v>
      </c>
      <c r="B32" s="22"/>
      <c r="C32" s="22"/>
      <c r="D32" s="22"/>
      <c r="E32" s="22"/>
      <c r="F32" s="22"/>
      <c r="G32" s="22"/>
      <c r="H32" s="105"/>
      <c r="I32" s="105"/>
      <c r="J32" s="107">
        <f>19546.81/590*1/240*4</f>
        <v>0.55216977401129941</v>
      </c>
    </row>
    <row r="33" spans="1:14" x14ac:dyDescent="0.25">
      <c r="A33" s="17" t="s">
        <v>72</v>
      </c>
      <c r="B33" s="22"/>
      <c r="C33" s="22"/>
      <c r="D33" s="22"/>
      <c r="E33" s="22"/>
      <c r="F33" s="22"/>
      <c r="G33" s="22"/>
      <c r="H33" s="22"/>
      <c r="I33" s="22"/>
      <c r="J33" s="111"/>
    </row>
    <row r="34" spans="1:14" x14ac:dyDescent="0.25">
      <c r="A34" s="17" t="s">
        <v>231</v>
      </c>
      <c r="B34" s="22"/>
      <c r="C34" s="22"/>
      <c r="D34" s="22"/>
      <c r="E34" s="22"/>
      <c r="F34" s="22"/>
      <c r="G34" s="22"/>
      <c r="H34" s="105"/>
      <c r="I34" s="105"/>
      <c r="J34" s="107">
        <f>80836.25/590*1/240*4</f>
        <v>2.2835098870056498</v>
      </c>
    </row>
    <row r="35" spans="1:14" x14ac:dyDescent="0.25">
      <c r="A35" s="14" t="s">
        <v>115</v>
      </c>
      <c r="B35" s="22"/>
      <c r="C35" s="22"/>
      <c r="D35" s="22"/>
      <c r="E35" s="22"/>
      <c r="F35" s="22"/>
      <c r="G35" s="22"/>
      <c r="H35" s="22"/>
      <c r="I35" s="22"/>
      <c r="J35" s="111"/>
    </row>
    <row r="36" spans="1:14" x14ac:dyDescent="0.25">
      <c r="A36" s="68" t="s">
        <v>257</v>
      </c>
      <c r="B36" s="112"/>
      <c r="C36" s="112"/>
      <c r="D36" s="112"/>
      <c r="E36" s="112"/>
      <c r="F36" s="112"/>
      <c r="G36" s="112"/>
      <c r="H36" s="113"/>
      <c r="I36" s="113"/>
      <c r="J36" s="107">
        <v>13.93</v>
      </c>
    </row>
    <row r="37" spans="1:14" x14ac:dyDescent="0.25">
      <c r="A37" s="17" t="s">
        <v>221</v>
      </c>
      <c r="B37" s="22"/>
      <c r="C37" s="22"/>
      <c r="D37" s="22"/>
      <c r="E37" s="22"/>
      <c r="F37" s="22"/>
      <c r="G37" s="22"/>
      <c r="H37" s="105"/>
      <c r="I37" s="105"/>
      <c r="J37" s="111">
        <v>549.16</v>
      </c>
    </row>
    <row r="38" spans="1:14" x14ac:dyDescent="0.25">
      <c r="A38" s="80" t="s">
        <v>222</v>
      </c>
      <c r="B38" s="114"/>
      <c r="C38" s="114"/>
      <c r="D38" s="114"/>
      <c r="E38" s="114"/>
      <c r="F38" s="114"/>
      <c r="G38" s="114"/>
      <c r="H38" s="114"/>
      <c r="I38" s="114"/>
      <c r="J38" s="108">
        <f>SUM(J24:J37)</f>
        <v>2428.568602000797</v>
      </c>
    </row>
    <row r="39" spans="1:14" x14ac:dyDescent="0.25">
      <c r="A39" s="125" t="s">
        <v>258</v>
      </c>
      <c r="B39" s="131"/>
      <c r="C39" s="131"/>
      <c r="D39" s="131"/>
      <c r="E39" s="131"/>
      <c r="F39" s="131"/>
      <c r="G39" s="131"/>
      <c r="H39" s="132"/>
      <c r="I39" s="118" t="s">
        <v>253</v>
      </c>
      <c r="J39" s="108">
        <f>J38*5%</f>
        <v>121.42843010003986</v>
      </c>
    </row>
    <row r="40" spans="1:14" x14ac:dyDescent="0.25">
      <c r="A40" s="27" t="s">
        <v>259</v>
      </c>
      <c r="B40" s="27"/>
      <c r="C40" s="27"/>
      <c r="D40" s="27"/>
      <c r="E40" s="27"/>
      <c r="F40" s="27"/>
      <c r="G40" s="27"/>
      <c r="H40" s="53"/>
      <c r="I40" s="53"/>
      <c r="J40" s="108">
        <f>J38+J39</f>
        <v>2549.9970321008368</v>
      </c>
    </row>
    <row r="41" spans="1:14" x14ac:dyDescent="0.25">
      <c r="A41" s="27" t="s">
        <v>235</v>
      </c>
      <c r="B41" s="27"/>
      <c r="C41" s="27"/>
      <c r="D41" s="27"/>
      <c r="E41" s="27"/>
      <c r="F41" s="27"/>
      <c r="G41" s="27"/>
      <c r="H41" s="53"/>
      <c r="I41" s="53"/>
      <c r="J41" s="108">
        <f>J40</f>
        <v>2549.9970321008368</v>
      </c>
      <c r="M41" s="119"/>
    </row>
    <row r="42" spans="1:14" x14ac:dyDescent="0.25">
      <c r="A42" s="29"/>
      <c r="K42" s="30"/>
      <c r="L42" s="30"/>
      <c r="M42" s="30"/>
      <c r="N42" s="30"/>
    </row>
    <row r="43" spans="1:14" x14ac:dyDescent="0.25">
      <c r="A43" s="29"/>
      <c r="K43" s="30"/>
      <c r="L43" s="30"/>
      <c r="M43" s="30"/>
      <c r="N43" s="30"/>
    </row>
    <row r="44" spans="1:14" s="121" customFormat="1" x14ac:dyDescent="0.25">
      <c r="A44" s="30" t="s">
        <v>36</v>
      </c>
      <c r="B44" s="30"/>
      <c r="C44" s="30"/>
      <c r="D44" s="30"/>
      <c r="E44" s="30" t="s">
        <v>37</v>
      </c>
      <c r="F44" s="30"/>
      <c r="G44" s="30" t="s">
        <v>81</v>
      </c>
      <c r="H44" s="30"/>
      <c r="I44" s="30" t="s">
        <v>38</v>
      </c>
      <c r="J44" s="30"/>
      <c r="K44" s="35"/>
      <c r="L44" s="35"/>
      <c r="M44" s="35"/>
      <c r="N44" s="35"/>
    </row>
    <row r="45" spans="1:14" s="121" customForma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5"/>
      <c r="L45" s="35"/>
      <c r="M45" s="35"/>
      <c r="N45" s="35"/>
    </row>
    <row r="46" spans="1:14" s="121" customForma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0"/>
      <c r="K46" s="35"/>
      <c r="L46" s="35"/>
      <c r="M46" s="35"/>
      <c r="N46" s="35"/>
    </row>
    <row r="47" spans="1:14" s="121" customFormat="1" x14ac:dyDescent="0.25">
      <c r="A47" s="122"/>
      <c r="C47" s="35"/>
      <c r="D47" s="35"/>
      <c r="E47" s="35"/>
      <c r="F47" s="35"/>
      <c r="G47" s="35"/>
      <c r="H47" s="35"/>
      <c r="I47" s="35"/>
      <c r="J47" s="30"/>
      <c r="K47" s="35"/>
      <c r="L47" s="35"/>
      <c r="M47" s="35"/>
      <c r="N47" s="35"/>
    </row>
    <row r="48" spans="1:14" s="121" customFormat="1" ht="12.75" x14ac:dyDescent="0.2">
      <c r="C48" s="35"/>
      <c r="D48" s="35"/>
      <c r="E48" s="35"/>
      <c r="F48" s="35"/>
      <c r="G48" s="35"/>
      <c r="H48" s="123" t="s">
        <v>226</v>
      </c>
      <c r="I48" s="123"/>
      <c r="J48" s="123"/>
      <c r="K48" s="35"/>
      <c r="L48" s="35"/>
      <c r="M48" s="35"/>
      <c r="N48" s="35"/>
    </row>
    <row r="49" spans="1:14" x14ac:dyDescent="0.25">
      <c r="A49" s="121"/>
      <c r="B49" s="121"/>
      <c r="C49" s="35"/>
      <c r="D49" s="35"/>
      <c r="E49" s="35"/>
      <c r="F49" s="35"/>
      <c r="G49" s="35"/>
      <c r="H49" s="35"/>
      <c r="I49" s="35"/>
      <c r="J49" s="30"/>
      <c r="K49" s="30"/>
      <c r="L49" s="30"/>
      <c r="M49" s="30"/>
      <c r="N49" s="30"/>
    </row>
    <row r="50" spans="1:14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0"/>
    </row>
    <row r="51" spans="1:14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</row>
  </sheetData>
  <mergeCells count="1">
    <mergeCell ref="A39:H39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барабан груп (3)</vt:lpstr>
      <vt:lpstr>ф-но</vt:lpstr>
      <vt:lpstr>аккорд. 01.09.2025</vt:lpstr>
      <vt:lpstr>баян</vt:lpstr>
      <vt:lpstr>балалайка</vt:lpstr>
      <vt:lpstr>барабан</vt:lpstr>
      <vt:lpstr>виолонч.</vt:lpstr>
      <vt:lpstr>гитара</vt:lpstr>
      <vt:lpstr>домра</vt:lpstr>
      <vt:lpstr>скрипка</vt:lpstr>
      <vt:lpstr>вокал</vt:lpstr>
      <vt:lpstr>флейта</vt:lpstr>
      <vt:lpstr>ГПД-15 100ч. 01.09.2025</vt:lpstr>
      <vt:lpstr>ГПД-15 40ч. 01.09.2025</vt:lpstr>
      <vt:lpstr>ПДШ №1</vt:lpstr>
      <vt:lpstr>ПДШ№2</vt:lpstr>
      <vt:lpstr>бисер</vt:lpstr>
      <vt:lpstr>англ.5</vt:lpstr>
      <vt:lpstr>тв.мастерство</vt:lpstr>
      <vt:lpstr>юн.художник</vt:lpstr>
      <vt:lpstr>'ГПД-15 100ч. 01.09.2025'!Область_печати</vt:lpstr>
      <vt:lpstr>'ф-но'!Область_печати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2025-06-27T05:57:20Z</dcterms:created>
  <dcterms:modified xsi:type="dcterms:W3CDTF">2025-06-27T08:17:33Z</dcterms:modified>
</cp:coreProperties>
</file>